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Rathore\Desktop\"/>
    </mc:Choice>
  </mc:AlternateContent>
  <bookViews>
    <workbookView xWindow="0" yWindow="0" windowWidth="6060" windowHeight="5385" tabRatio="656" firstSheet="15" activeTab="17"/>
  </bookViews>
  <sheets>
    <sheet name="Data" sheetId="1" state="hidden" r:id="rId1"/>
    <sheet name="MAC" sheetId="27" state="hidden" r:id="rId2"/>
    <sheet name="FDP" sheetId="44" state="hidden" r:id="rId3"/>
    <sheet name="SBR" sheetId="6" state="hidden" r:id="rId4"/>
    <sheet name="1" sheetId="30" state="hidden" r:id="rId5"/>
    <sheet name="2" sheetId="31" state="hidden" r:id="rId6"/>
    <sheet name="3" sheetId="28" state="hidden" r:id="rId7"/>
    <sheet name="4" sheetId="29" state="hidden" r:id="rId8"/>
    <sheet name="5" sheetId="32" state="hidden" r:id="rId9"/>
    <sheet name="6" sheetId="33" state="hidden" r:id="rId10"/>
    <sheet name="7" sheetId="35" state="hidden" r:id="rId11"/>
    <sheet name="8" sheetId="36" state="hidden" r:id="rId12"/>
    <sheet name="9" sheetId="37" state="hidden" r:id="rId13"/>
    <sheet name="Attend" sheetId="51" state="hidden" r:id="rId14"/>
    <sheet name="ITR3-17" sheetId="43" state="hidden" r:id="rId15"/>
    <sheet name="ITR3-19" sheetId="49" r:id="rId16"/>
    <sheet name="ITR3-19-R" sheetId="77" state="hidden" r:id="rId17"/>
    <sheet name="ITR3-19+" sheetId="48" r:id="rId18"/>
    <sheet name="AY 2018-19" sheetId="71" state="hidden" r:id="rId19"/>
    <sheet name="NPS" sheetId="70" state="hidden" r:id="rId20"/>
    <sheet name="Rev" sheetId="73" state="hidden" r:id="rId21"/>
    <sheet name="Re-Rev " sheetId="74" state="hidden" r:id="rId22"/>
    <sheet name="AY 2019-20 (2)" sheetId="72" state="hidden" r:id="rId23"/>
    <sheet name="18A" sheetId="69" state="hidden" r:id="rId24"/>
    <sheet name="20B" sheetId="58" state="hidden" r:id="rId25"/>
    <sheet name="Intt" sheetId="21" state="hidden" r:id="rId26"/>
    <sheet name="IE &amp; BS" sheetId="26" state="hidden" r:id="rId27"/>
    <sheet name="2017" sheetId="18" state="hidden" r:id="rId28"/>
    <sheet name="AIR" sheetId="22" state="hidden" r:id="rId29"/>
    <sheet name="ACS" sheetId="25" state="hidden" r:id="rId30"/>
  </sheets>
  <externalReferences>
    <externalReference r:id="rId31"/>
  </externalReferences>
  <definedNames>
    <definedName name="newbasicPB4">[1]Sheet1!$T$4:$T$37</definedName>
    <definedName name="oldbasicPB4">[1]Sheet1!$S$4:$S$37</definedName>
    <definedName name="_xlnm.Print_Area" localSheetId="4">'1'!$A$1:$J$76</definedName>
    <definedName name="_xlnm.Print_Area" localSheetId="23">'18A'!$A$1:$I$47</definedName>
    <definedName name="_xlnm.Print_Area" localSheetId="5">'2'!$A$1:$J$75</definedName>
    <definedName name="_xlnm.Print_Area" localSheetId="27">'2017'!$A$1:$I$58</definedName>
    <definedName name="_xlnm.Print_Area" localSheetId="24">'20B'!#REF!</definedName>
    <definedName name="_xlnm.Print_Area" localSheetId="6">'3'!$A$1:$J$87</definedName>
    <definedName name="_xlnm.Print_Area" localSheetId="7">'4'!$A$1:$J$82</definedName>
    <definedName name="_xlnm.Print_Area" localSheetId="8">'5'!$A$1:$J$80</definedName>
    <definedName name="_xlnm.Print_Area" localSheetId="9">'6'!$A$1:$J$92</definedName>
    <definedName name="_xlnm.Print_Area" localSheetId="10">'7'!$A$1:$J$99</definedName>
    <definedName name="_xlnm.Print_Area" localSheetId="11">'8'!$A$1:$J$95</definedName>
    <definedName name="_xlnm.Print_Area" localSheetId="12">'9'!$A$1:$J$88</definedName>
    <definedName name="_xlnm.Print_Area" localSheetId="28">AIR!#REF!</definedName>
    <definedName name="_xlnm.Print_Area" localSheetId="18">'AY 2018-19'!$A$1:$I$39</definedName>
    <definedName name="_xlnm.Print_Area" localSheetId="22">'AY 2019-20 (2)'!$A$1:$I$39</definedName>
    <definedName name="_xlnm.Print_Area" localSheetId="0">Data!$B$1:$C$17</definedName>
    <definedName name="_xlnm.Print_Area" localSheetId="2">FDP!$A$1:$D$40</definedName>
    <definedName name="_xlnm.Print_Area" localSheetId="26">'IE &amp; BS'!$A$1:$D$39</definedName>
    <definedName name="_xlnm.Print_Area" localSheetId="25">Intt!$A$1:$I$25</definedName>
    <definedName name="_xlnm.Print_Area" localSheetId="14">'ITR3-17'!$J$1:$N$58</definedName>
    <definedName name="_xlnm.Print_Area" localSheetId="15">'ITR3-19'!$A$1:$I$72</definedName>
    <definedName name="_xlnm.Print_Area" localSheetId="17">'ITR3-19+'!$A$48:$F$81</definedName>
    <definedName name="_xlnm.Print_Area" localSheetId="16">'ITR3-19-R'!$A$1:$I$70</definedName>
    <definedName name="_xlnm.Print_Area" localSheetId="1">MAC!$C$1:$D$30</definedName>
    <definedName name="_xlnm.Print_Area" localSheetId="19">NPS!$A$1:$I$37</definedName>
    <definedName name="_xlnm.Print_Area" localSheetId="21">'Re-Rev '!$A$1:$I$41</definedName>
    <definedName name="_xlnm.Print_Area" localSheetId="20">Rev!$A$1:$I$41</definedName>
    <definedName name="_xlnm.Print_Area" localSheetId="3">SBR!$A$1:$J$77</definedName>
  </definedNames>
  <calcPr calcId="152511"/>
  <customWorkbookViews>
    <customWorkbookView name="sudhirr - Personal View" guid="{27EDC0A0-6243-11D3-9E8B-444553540000}" mergeInterval="0" personalView="1" maximized="1" windowWidth="636" windowHeight="318" activeSheetId="2"/>
  </customWorkbookViews>
</workbook>
</file>

<file path=xl/calcChain.xml><?xml version="1.0" encoding="utf-8"?>
<calcChain xmlns="http://schemas.openxmlformats.org/spreadsheetml/2006/main">
  <c r="F20" i="49" l="1"/>
  <c r="F19" i="49"/>
  <c r="F88" i="48"/>
  <c r="F87" i="48"/>
  <c r="F85" i="48"/>
  <c r="F84" i="48"/>
  <c r="E80" i="48"/>
  <c r="E75" i="48"/>
  <c r="E70" i="48"/>
  <c r="L44" i="49" l="1"/>
  <c r="N44" i="49"/>
  <c r="K44" i="49"/>
  <c r="E28" i="49"/>
  <c r="E27" i="49"/>
  <c r="B28" i="49" s="1"/>
  <c r="B26" i="77" l="1"/>
  <c r="E27" i="77"/>
  <c r="A70" i="77"/>
  <c r="H67" i="77"/>
  <c r="C55" i="77"/>
  <c r="G51" i="77"/>
  <c r="G45" i="77"/>
  <c r="H52" i="77" s="1"/>
  <c r="F45" i="77"/>
  <c r="G37" i="77"/>
  <c r="H38" i="77" s="1"/>
  <c r="E30" i="77"/>
  <c r="E29" i="77"/>
  <c r="F30" i="77" s="1"/>
  <c r="F28" i="77"/>
  <c r="E26" i="77"/>
  <c r="E25" i="77"/>
  <c r="E24" i="77"/>
  <c r="F27" i="77" s="1"/>
  <c r="F23" i="77"/>
  <c r="F18" i="77"/>
  <c r="F17" i="77"/>
  <c r="G9" i="77"/>
  <c r="H5" i="77"/>
  <c r="G27" i="77" l="1"/>
  <c r="F31" i="77"/>
  <c r="G32" i="77" s="1"/>
  <c r="H32" i="77" s="1"/>
  <c r="E56" i="77" s="1"/>
  <c r="G56" i="77" s="1"/>
  <c r="F10" i="77"/>
  <c r="G11" i="77" s="1"/>
  <c r="G12" i="77" s="1"/>
  <c r="H13" i="77" s="1"/>
  <c r="F12" i="48" l="1"/>
  <c r="C12" i="48" s="1"/>
  <c r="C6" i="48" l="1"/>
  <c r="F6" i="48" s="1"/>
  <c r="E31" i="49"/>
  <c r="E30" i="49"/>
  <c r="F29" i="49"/>
  <c r="F3" i="48" l="1"/>
  <c r="C7" i="48" s="1"/>
  <c r="C11" i="48" s="1"/>
  <c r="F13" i="48" s="1"/>
  <c r="F38" i="48" s="1"/>
  <c r="E26" i="49"/>
  <c r="E25" i="49"/>
  <c r="F24" i="49"/>
  <c r="AG116" i="25" l="1"/>
  <c r="AG110" i="25"/>
  <c r="AG103" i="25"/>
  <c r="AG96" i="25"/>
  <c r="AG90" i="25"/>
  <c r="AG83" i="25"/>
  <c r="AG62" i="25"/>
  <c r="X60" i="25"/>
  <c r="AG41" i="25"/>
  <c r="G66" i="18"/>
  <c r="F66" i="18"/>
  <c r="G65" i="18"/>
  <c r="F65" i="18"/>
  <c r="I58" i="18"/>
  <c r="H58" i="18"/>
  <c r="B58" i="18"/>
  <c r="I56" i="18"/>
  <c r="H56" i="18"/>
  <c r="I52" i="18"/>
  <c r="H52" i="18"/>
  <c r="I51" i="18"/>
  <c r="I49" i="18"/>
  <c r="H49" i="18"/>
  <c r="I47" i="18"/>
  <c r="H47" i="18"/>
  <c r="I45" i="18"/>
  <c r="H45" i="18"/>
  <c r="E45" i="18"/>
  <c r="I43" i="18"/>
  <c r="H43" i="18"/>
  <c r="I41" i="18"/>
  <c r="H41" i="18"/>
  <c r="G41" i="18"/>
  <c r="G40" i="18"/>
  <c r="G38" i="18"/>
  <c r="E38" i="18"/>
  <c r="G37" i="18"/>
  <c r="E37" i="18"/>
  <c r="C37" i="18"/>
  <c r="B37" i="18"/>
  <c r="G36" i="18"/>
  <c r="E36" i="18"/>
  <c r="C36" i="18"/>
  <c r="B36" i="18"/>
  <c r="G35" i="18"/>
  <c r="E35" i="18"/>
  <c r="I32" i="18"/>
  <c r="H32" i="18"/>
  <c r="F32" i="18"/>
  <c r="D32" i="18"/>
  <c r="I30" i="18"/>
  <c r="H30" i="18"/>
  <c r="H26" i="18"/>
  <c r="I24" i="18"/>
  <c r="H24" i="18"/>
  <c r="G23" i="18"/>
  <c r="I14" i="18"/>
  <c r="H14" i="18"/>
  <c r="I11" i="18"/>
  <c r="H11" i="18"/>
  <c r="I8" i="18"/>
  <c r="H8" i="18"/>
  <c r="G8" i="18"/>
  <c r="I5" i="18"/>
  <c r="H5" i="18"/>
  <c r="D39" i="26"/>
  <c r="B39" i="26"/>
  <c r="B27" i="26"/>
  <c r="D23" i="26"/>
  <c r="B23" i="26"/>
  <c r="B22" i="26"/>
  <c r="B21" i="26"/>
  <c r="H24" i="21"/>
  <c r="G24" i="21"/>
  <c r="E24" i="21"/>
  <c r="E22" i="21"/>
  <c r="E21" i="21"/>
  <c r="E20" i="21"/>
  <c r="H18" i="21"/>
  <c r="G18" i="21"/>
  <c r="E18" i="21"/>
  <c r="E16" i="21"/>
  <c r="E15" i="21"/>
  <c r="E14" i="21"/>
  <c r="E13" i="21"/>
  <c r="H11" i="21"/>
  <c r="B11" i="21"/>
  <c r="H9" i="21"/>
  <c r="G9" i="21"/>
  <c r="F9" i="21"/>
  <c r="E9" i="21"/>
  <c r="H8" i="21"/>
  <c r="G8" i="21"/>
  <c r="F8" i="21"/>
  <c r="E8" i="21"/>
  <c r="H7" i="21"/>
  <c r="G7" i="21"/>
  <c r="F7" i="21"/>
  <c r="E7" i="21"/>
  <c r="E5" i="21"/>
  <c r="E4" i="21"/>
  <c r="E3" i="21"/>
  <c r="E2" i="21"/>
  <c r="I1" i="21"/>
  <c r="F103" i="58"/>
  <c r="E103" i="58"/>
  <c r="E102" i="58"/>
  <c r="F101" i="58"/>
  <c r="F99" i="58"/>
  <c r="F97" i="58"/>
  <c r="E97" i="58"/>
  <c r="F94" i="58"/>
  <c r="F93" i="58"/>
  <c r="F92" i="58"/>
  <c r="H82" i="58"/>
  <c r="G82" i="58"/>
  <c r="F82" i="58"/>
  <c r="C82" i="58"/>
  <c r="H76" i="58"/>
  <c r="H75" i="58"/>
  <c r="G67" i="58"/>
  <c r="H55" i="58"/>
  <c r="B55" i="58"/>
  <c r="H54" i="58"/>
  <c r="H50" i="58"/>
  <c r="H49" i="58"/>
  <c r="H48" i="58"/>
  <c r="H47" i="58"/>
  <c r="H45" i="58"/>
  <c r="G45" i="58"/>
  <c r="G44" i="58"/>
  <c r="E44" i="58"/>
  <c r="H42" i="58"/>
  <c r="E42" i="58"/>
  <c r="H41" i="58"/>
  <c r="G36" i="58"/>
  <c r="F36" i="58"/>
  <c r="H31" i="58"/>
  <c r="H29" i="58"/>
  <c r="G28" i="58"/>
  <c r="H21" i="58"/>
  <c r="G20" i="58"/>
  <c r="F20" i="58"/>
  <c r="E20" i="58"/>
  <c r="D20" i="58"/>
  <c r="F19" i="58"/>
  <c r="F18" i="58"/>
  <c r="F16" i="58"/>
  <c r="H14" i="58"/>
  <c r="G14" i="58"/>
  <c r="F13" i="58"/>
  <c r="G12" i="58"/>
  <c r="H8" i="58"/>
  <c r="H4" i="58"/>
  <c r="H2" i="58"/>
  <c r="H47" i="69"/>
  <c r="B47" i="69"/>
  <c r="H46" i="69"/>
  <c r="N41" i="69"/>
  <c r="H41" i="69"/>
  <c r="N40" i="69"/>
  <c r="H40" i="69"/>
  <c r="N39" i="69"/>
  <c r="H39" i="69"/>
  <c r="N38" i="69"/>
  <c r="H38" i="69"/>
  <c r="G37" i="69"/>
  <c r="E37" i="69"/>
  <c r="N36" i="69"/>
  <c r="L36" i="69"/>
  <c r="H35" i="69"/>
  <c r="E35" i="69"/>
  <c r="H34" i="69"/>
  <c r="G33" i="69"/>
  <c r="G31" i="69"/>
  <c r="F31" i="69"/>
  <c r="N29" i="69"/>
  <c r="N28" i="69"/>
  <c r="L25" i="69"/>
  <c r="H25" i="69"/>
  <c r="L24" i="69"/>
  <c r="L23" i="69"/>
  <c r="H23" i="69"/>
  <c r="L22" i="69"/>
  <c r="G22" i="69"/>
  <c r="L21" i="69"/>
  <c r="G21" i="69"/>
  <c r="L20" i="69"/>
  <c r="H17" i="69"/>
  <c r="L14" i="69"/>
  <c r="H14" i="69"/>
  <c r="F13" i="69"/>
  <c r="N11" i="69"/>
  <c r="L11" i="69"/>
  <c r="H11" i="69"/>
  <c r="G11" i="69"/>
  <c r="L10" i="69"/>
  <c r="F10" i="69"/>
  <c r="L9" i="69"/>
  <c r="G9" i="69"/>
  <c r="L6" i="69"/>
  <c r="H5" i="69"/>
  <c r="A39" i="72"/>
  <c r="H37" i="72"/>
  <c r="H36" i="72"/>
  <c r="H35" i="72"/>
  <c r="H34" i="72"/>
  <c r="H32" i="72"/>
  <c r="G31" i="72"/>
  <c r="G30" i="72"/>
  <c r="E30" i="72"/>
  <c r="H29" i="72"/>
  <c r="H28" i="72"/>
  <c r="E28" i="72"/>
  <c r="H27" i="72"/>
  <c r="G25" i="72"/>
  <c r="F25" i="72"/>
  <c r="H17" i="72"/>
  <c r="H15" i="72"/>
  <c r="G14" i="72"/>
  <c r="M8" i="72"/>
  <c r="H8" i="72"/>
  <c r="L7" i="72"/>
  <c r="H5" i="72"/>
  <c r="G4" i="72"/>
  <c r="A41" i="74"/>
  <c r="H39" i="74"/>
  <c r="H38" i="74"/>
  <c r="H32" i="74"/>
  <c r="G31" i="74"/>
  <c r="G30" i="74"/>
  <c r="E30" i="74"/>
  <c r="H29" i="74"/>
  <c r="H28" i="74"/>
  <c r="E28" i="74"/>
  <c r="H27" i="74"/>
  <c r="G24" i="74"/>
  <c r="F23" i="74"/>
  <c r="H17" i="74"/>
  <c r="H15" i="74"/>
  <c r="G14" i="74"/>
  <c r="L12" i="74"/>
  <c r="L8" i="74"/>
  <c r="H5" i="74"/>
  <c r="G5" i="74"/>
  <c r="L4" i="74"/>
  <c r="G4" i="74"/>
  <c r="L2" i="74"/>
  <c r="A41" i="73"/>
  <c r="H39" i="73"/>
  <c r="H38" i="73"/>
  <c r="H32" i="73"/>
  <c r="G31" i="73"/>
  <c r="G30" i="73"/>
  <c r="E30" i="73"/>
  <c r="H29" i="73"/>
  <c r="H28" i="73"/>
  <c r="E28" i="73"/>
  <c r="H27" i="73"/>
  <c r="G24" i="73"/>
  <c r="F23" i="73"/>
  <c r="H17" i="73"/>
  <c r="H15" i="73"/>
  <c r="G14" i="73"/>
  <c r="L9" i="73"/>
  <c r="M8" i="73"/>
  <c r="M7" i="73"/>
  <c r="M5" i="73"/>
  <c r="H5" i="73"/>
  <c r="M3" i="73"/>
  <c r="M37" i="70"/>
  <c r="A37" i="70"/>
  <c r="H35" i="70"/>
  <c r="H34" i="70"/>
  <c r="H33" i="70"/>
  <c r="H32" i="70"/>
  <c r="M30" i="70"/>
  <c r="H30" i="70"/>
  <c r="G29" i="70"/>
  <c r="G28" i="70"/>
  <c r="E28" i="70"/>
  <c r="H27" i="70"/>
  <c r="H26" i="70"/>
  <c r="E26" i="70"/>
  <c r="H25" i="70"/>
  <c r="G23" i="70"/>
  <c r="G21" i="70"/>
  <c r="F20" i="70"/>
  <c r="F19" i="70"/>
  <c r="F18" i="70"/>
  <c r="H15" i="70"/>
  <c r="H13" i="70"/>
  <c r="G12" i="70"/>
  <c r="M8" i="70"/>
  <c r="M7" i="70"/>
  <c r="H5" i="70"/>
  <c r="G4" i="70"/>
  <c r="A39" i="71"/>
  <c r="H37" i="71"/>
  <c r="L36" i="71"/>
  <c r="H36" i="71"/>
  <c r="H35" i="71"/>
  <c r="L34" i="71"/>
  <c r="H34" i="71"/>
  <c r="L32" i="71"/>
  <c r="H32" i="71"/>
  <c r="G31" i="71"/>
  <c r="G30" i="71"/>
  <c r="E30" i="71"/>
  <c r="H29" i="71"/>
  <c r="H28" i="71"/>
  <c r="E28" i="71"/>
  <c r="H27" i="71"/>
  <c r="G25" i="71"/>
  <c r="F25" i="71"/>
  <c r="H17" i="71"/>
  <c r="H15" i="71"/>
  <c r="G14" i="71"/>
  <c r="M8" i="71"/>
  <c r="H8" i="71"/>
  <c r="L7" i="71"/>
  <c r="H5" i="71"/>
  <c r="G5" i="71"/>
  <c r="G4" i="71"/>
  <c r="E81" i="48"/>
  <c r="F81" i="48"/>
  <c r="E77" i="48"/>
  <c r="E76" i="48"/>
  <c r="C72" i="48"/>
  <c r="E72" i="48" s="1"/>
  <c r="E71" i="48"/>
  <c r="C58" i="48"/>
  <c r="F18" i="49" s="1"/>
  <c r="C56" i="48"/>
  <c r="C53" i="48"/>
  <c r="F47" i="48"/>
  <c r="C47" i="48"/>
  <c r="H43" i="48"/>
  <c r="G43" i="48" s="1"/>
  <c r="C38" i="48"/>
  <c r="C37" i="48" s="1"/>
  <c r="H69" i="49"/>
  <c r="C56" i="49"/>
  <c r="G52" i="49"/>
  <c r="F46" i="49"/>
  <c r="G46" i="49" s="1"/>
  <c r="G38" i="49"/>
  <c r="H39" i="49" s="1"/>
  <c r="F28" i="49"/>
  <c r="G28" i="49" s="1"/>
  <c r="G9" i="49"/>
  <c r="F10" i="49" s="1"/>
  <c r="G11" i="49" s="1"/>
  <c r="G12" i="49" s="1"/>
  <c r="H13" i="49" s="1"/>
  <c r="H5" i="49"/>
  <c r="M57" i="43"/>
  <c r="N57" i="43" s="1"/>
  <c r="M56" i="43"/>
  <c r="M58" i="43" s="1"/>
  <c r="A56" i="43"/>
  <c r="H53" i="43"/>
  <c r="N44" i="43"/>
  <c r="N43" i="43"/>
  <c r="N42" i="43"/>
  <c r="N45" i="43" s="1"/>
  <c r="L24" i="43" s="1"/>
  <c r="C41" i="43"/>
  <c r="L40" i="43"/>
  <c r="G37" i="43"/>
  <c r="N34" i="43"/>
  <c r="N40" i="43" s="1"/>
  <c r="N33" i="43"/>
  <c r="E31" i="43"/>
  <c r="B31" i="43"/>
  <c r="L27" i="43"/>
  <c r="L25" i="43"/>
  <c r="L23" i="43"/>
  <c r="G23" i="43"/>
  <c r="G24" i="43" s="1"/>
  <c r="H25" i="43" s="1"/>
  <c r="H19" i="43"/>
  <c r="G10" i="43"/>
  <c r="F11" i="43" s="1"/>
  <c r="G12" i="43" s="1"/>
  <c r="H12" i="43" s="1"/>
  <c r="N5" i="43"/>
  <c r="L5" i="43" s="1"/>
  <c r="L4" i="43" s="1"/>
  <c r="N6" i="43" s="1"/>
  <c r="N13" i="43" s="1"/>
  <c r="L13" i="43" s="1"/>
  <c r="L12" i="43" s="1"/>
  <c r="L22" i="43" s="1"/>
  <c r="L28" i="43" s="1"/>
  <c r="H15" i="43" s="1"/>
  <c r="H5" i="43"/>
  <c r="I88" i="37"/>
  <c r="H88" i="37"/>
  <c r="B88" i="37"/>
  <c r="I87" i="37"/>
  <c r="H87" i="37"/>
  <c r="G87" i="37"/>
  <c r="B86" i="37"/>
  <c r="I83" i="37"/>
  <c r="H83" i="37"/>
  <c r="I82" i="37"/>
  <c r="H82" i="37"/>
  <c r="H81" i="37"/>
  <c r="H79" i="37"/>
  <c r="I78" i="37"/>
  <c r="H78" i="37"/>
  <c r="I77" i="37"/>
  <c r="H77" i="37"/>
  <c r="I76" i="37"/>
  <c r="H76" i="37"/>
  <c r="G76" i="37"/>
  <c r="G75" i="37"/>
  <c r="G74" i="37"/>
  <c r="E74" i="37"/>
  <c r="G73" i="37"/>
  <c r="G71" i="37"/>
  <c r="E71" i="37"/>
  <c r="I69" i="37"/>
  <c r="H69" i="37"/>
  <c r="E69" i="37"/>
  <c r="I68" i="37"/>
  <c r="H68" i="37"/>
  <c r="G67" i="37"/>
  <c r="G64" i="37"/>
  <c r="G62" i="37"/>
  <c r="F62" i="37"/>
  <c r="I49" i="37"/>
  <c r="H49" i="37"/>
  <c r="F47" i="37"/>
  <c r="I41" i="37"/>
  <c r="H41" i="37"/>
  <c r="G40" i="37"/>
  <c r="G39" i="37"/>
  <c r="F39" i="37"/>
  <c r="G34" i="37"/>
  <c r="H29" i="37"/>
  <c r="G29" i="37"/>
  <c r="D28" i="37"/>
  <c r="F27" i="37"/>
  <c r="I23" i="37"/>
  <c r="H23" i="37"/>
  <c r="F23" i="37"/>
  <c r="F22" i="37"/>
  <c r="F21" i="37"/>
  <c r="I20" i="37"/>
  <c r="G20" i="37"/>
  <c r="F20" i="37"/>
  <c r="F19" i="37"/>
  <c r="F18" i="37"/>
  <c r="G17" i="37"/>
  <c r="F17" i="37"/>
  <c r="F16" i="37"/>
  <c r="F15" i="37"/>
  <c r="H14" i="37"/>
  <c r="G14" i="37"/>
  <c r="F14" i="37"/>
  <c r="F13" i="37"/>
  <c r="G12" i="37"/>
  <c r="G11" i="37"/>
  <c r="G9" i="37"/>
  <c r="I7" i="37"/>
  <c r="H7" i="37"/>
  <c r="I95" i="36"/>
  <c r="H95" i="36"/>
  <c r="B95" i="36"/>
  <c r="I94" i="36"/>
  <c r="H94" i="36"/>
  <c r="B93" i="36"/>
  <c r="G92" i="36"/>
  <c r="I90" i="36"/>
  <c r="H90" i="36"/>
  <c r="I89" i="36"/>
  <c r="H89" i="36"/>
  <c r="H88" i="36"/>
  <c r="H86" i="36"/>
  <c r="I85" i="36"/>
  <c r="H85" i="36"/>
  <c r="I84" i="36"/>
  <c r="H84" i="36"/>
  <c r="I83" i="36"/>
  <c r="H83" i="36"/>
  <c r="G83" i="36"/>
  <c r="G82" i="36"/>
  <c r="E82" i="36"/>
  <c r="G81" i="36"/>
  <c r="G80" i="36"/>
  <c r="G78" i="36"/>
  <c r="E78" i="36"/>
  <c r="I76" i="36"/>
  <c r="H76" i="36"/>
  <c r="E76" i="36"/>
  <c r="I75" i="36"/>
  <c r="H75" i="36"/>
  <c r="G74" i="36"/>
  <c r="G72" i="36"/>
  <c r="G70" i="36"/>
  <c r="F70" i="36"/>
  <c r="I55" i="36"/>
  <c r="H55" i="36"/>
  <c r="F53" i="36"/>
  <c r="I47" i="36"/>
  <c r="H47" i="36"/>
  <c r="G46" i="36"/>
  <c r="G45" i="36"/>
  <c r="F45" i="36"/>
  <c r="G40" i="36"/>
  <c r="G38" i="36"/>
  <c r="F38" i="36"/>
  <c r="H33" i="36"/>
  <c r="G32" i="36"/>
  <c r="F31" i="36"/>
  <c r="G28" i="36"/>
  <c r="F28" i="36"/>
  <c r="F26" i="36"/>
  <c r="E25" i="36"/>
  <c r="I22" i="36"/>
  <c r="H22" i="36"/>
  <c r="F22" i="36"/>
  <c r="F21" i="36"/>
  <c r="F20" i="36"/>
  <c r="I19" i="36"/>
  <c r="G19" i="36"/>
  <c r="F19" i="36"/>
  <c r="F18" i="36"/>
  <c r="F17" i="36"/>
  <c r="G16" i="36"/>
  <c r="F16" i="36"/>
  <c r="F15" i="36"/>
  <c r="F14" i="36"/>
  <c r="G13" i="36"/>
  <c r="F13" i="36"/>
  <c r="F12" i="36"/>
  <c r="G11" i="36"/>
  <c r="I7" i="36"/>
  <c r="H7" i="36"/>
  <c r="I99" i="35"/>
  <c r="H99" i="35"/>
  <c r="B99" i="35"/>
  <c r="I98" i="35"/>
  <c r="H98" i="35"/>
  <c r="H92" i="35"/>
  <c r="H90" i="35"/>
  <c r="I89" i="35"/>
  <c r="H89" i="35"/>
  <c r="I88" i="35"/>
  <c r="H88" i="35"/>
  <c r="H87" i="35"/>
  <c r="H86" i="35"/>
  <c r="H85" i="35"/>
  <c r="I84" i="35"/>
  <c r="H84" i="35"/>
  <c r="G84" i="35"/>
  <c r="G83" i="35"/>
  <c r="E83" i="35"/>
  <c r="G82" i="35"/>
  <c r="G80" i="35"/>
  <c r="E80" i="35"/>
  <c r="I78" i="35"/>
  <c r="H78" i="35"/>
  <c r="E78" i="35"/>
  <c r="I77" i="35"/>
  <c r="H77" i="35"/>
  <c r="G76" i="35"/>
  <c r="G71" i="35"/>
  <c r="F71" i="35"/>
  <c r="I56" i="35"/>
  <c r="H56" i="35"/>
  <c r="F54" i="35"/>
  <c r="I48" i="35"/>
  <c r="H48" i="35"/>
  <c r="G47" i="35"/>
  <c r="G46" i="35"/>
  <c r="F46" i="35"/>
  <c r="G41" i="35"/>
  <c r="I36" i="35"/>
  <c r="H36" i="35"/>
  <c r="G36" i="35"/>
  <c r="G35" i="35"/>
  <c r="F34" i="35"/>
  <c r="F33" i="35"/>
  <c r="F32" i="35"/>
  <c r="E32" i="35"/>
  <c r="F31" i="35"/>
  <c r="E31" i="35"/>
  <c r="F30" i="35"/>
  <c r="H25" i="35"/>
  <c r="I24" i="35"/>
  <c r="H24" i="35"/>
  <c r="I21" i="35"/>
  <c r="G21" i="35"/>
  <c r="F19" i="35"/>
  <c r="G18" i="35"/>
  <c r="G15" i="35"/>
  <c r="G14" i="35"/>
  <c r="F13" i="35"/>
  <c r="G12" i="35"/>
  <c r="I8" i="35"/>
  <c r="H8" i="35"/>
  <c r="G7" i="35"/>
  <c r="G5" i="35"/>
  <c r="I92" i="33"/>
  <c r="H92" i="33"/>
  <c r="B92" i="33"/>
  <c r="I91" i="33"/>
  <c r="H91" i="33"/>
  <c r="B89" i="33"/>
  <c r="I86" i="33"/>
  <c r="H86" i="33"/>
  <c r="I85" i="33"/>
  <c r="H85" i="33"/>
  <c r="H84" i="33"/>
  <c r="H82" i="33"/>
  <c r="I81" i="33"/>
  <c r="H81" i="33"/>
  <c r="I80" i="33"/>
  <c r="H80" i="33"/>
  <c r="I79" i="33"/>
  <c r="H79" i="33"/>
  <c r="G79" i="33"/>
  <c r="G78" i="33"/>
  <c r="G76" i="33"/>
  <c r="E76" i="33"/>
  <c r="I74" i="33"/>
  <c r="H74" i="33"/>
  <c r="E74" i="33"/>
  <c r="I73" i="33"/>
  <c r="H73" i="33"/>
  <c r="G72" i="33"/>
  <c r="G67" i="33"/>
  <c r="F67" i="33"/>
  <c r="L60" i="33"/>
  <c r="L59" i="33"/>
  <c r="I51" i="33"/>
  <c r="H51" i="33"/>
  <c r="F49" i="33"/>
  <c r="I43" i="33"/>
  <c r="H43" i="33"/>
  <c r="G42" i="33"/>
  <c r="G41" i="33"/>
  <c r="F41" i="33"/>
  <c r="G36" i="33"/>
  <c r="I29" i="33"/>
  <c r="H29" i="33"/>
  <c r="I26" i="33"/>
  <c r="H26" i="33"/>
  <c r="I23" i="33"/>
  <c r="H23" i="33"/>
  <c r="G23" i="33"/>
  <c r="F21" i="33"/>
  <c r="G20" i="33"/>
  <c r="G17" i="33"/>
  <c r="G16" i="33"/>
  <c r="F15" i="33"/>
  <c r="G14" i="33"/>
  <c r="I10" i="33"/>
  <c r="H10" i="33"/>
  <c r="G6" i="33"/>
  <c r="G5" i="33"/>
  <c r="I80" i="32"/>
  <c r="H80" i="32"/>
  <c r="B80" i="32"/>
  <c r="I79" i="32"/>
  <c r="H79" i="32"/>
  <c r="G79" i="32"/>
  <c r="B77" i="32"/>
  <c r="I74" i="32"/>
  <c r="H74" i="32"/>
  <c r="I73" i="32"/>
  <c r="H73" i="32"/>
  <c r="H72" i="32"/>
  <c r="H70" i="32"/>
  <c r="I69" i="32"/>
  <c r="H69" i="32"/>
  <c r="I68" i="32"/>
  <c r="H68" i="32"/>
  <c r="I67" i="32"/>
  <c r="H67" i="32"/>
  <c r="G67" i="32"/>
  <c r="G66" i="32"/>
  <c r="G64" i="32"/>
  <c r="E64" i="32"/>
  <c r="I62" i="32"/>
  <c r="H62" i="32"/>
  <c r="E62" i="32"/>
  <c r="I61" i="32"/>
  <c r="H61" i="32"/>
  <c r="G60" i="32"/>
  <c r="G55" i="32"/>
  <c r="F55" i="32"/>
  <c r="I40" i="32"/>
  <c r="H40" i="32"/>
  <c r="F38" i="32"/>
  <c r="I32" i="32"/>
  <c r="H32" i="32"/>
  <c r="G31" i="32"/>
  <c r="G30" i="32"/>
  <c r="F30" i="32"/>
  <c r="G25" i="32"/>
  <c r="I20" i="32"/>
  <c r="H20" i="32"/>
  <c r="I17" i="32"/>
  <c r="H17" i="32"/>
  <c r="I14" i="32"/>
  <c r="H14" i="32"/>
  <c r="G14" i="32"/>
  <c r="F13" i="32"/>
  <c r="G12" i="32"/>
  <c r="I8" i="32"/>
  <c r="H8" i="32"/>
  <c r="G7" i="32"/>
  <c r="G5" i="32"/>
  <c r="I82" i="29"/>
  <c r="H82" i="29"/>
  <c r="B82" i="29"/>
  <c r="I81" i="29"/>
  <c r="H81" i="29"/>
  <c r="B78" i="29"/>
  <c r="I75" i="29"/>
  <c r="H75" i="29"/>
  <c r="I74" i="29"/>
  <c r="H73" i="29"/>
  <c r="H71" i="29"/>
  <c r="I70" i="29"/>
  <c r="H70" i="29"/>
  <c r="I69" i="29"/>
  <c r="H69" i="29"/>
  <c r="I68" i="29"/>
  <c r="H68" i="29"/>
  <c r="G68" i="29"/>
  <c r="E68" i="29"/>
  <c r="G66" i="29"/>
  <c r="G64" i="29"/>
  <c r="E64" i="29"/>
  <c r="I62" i="29"/>
  <c r="H62" i="29"/>
  <c r="E62" i="29"/>
  <c r="I61" i="29"/>
  <c r="H61" i="29"/>
  <c r="G55" i="29"/>
  <c r="F55" i="29"/>
  <c r="I41" i="29"/>
  <c r="H41" i="29"/>
  <c r="F39" i="29"/>
  <c r="I33" i="29"/>
  <c r="H33" i="29"/>
  <c r="G32" i="29"/>
  <c r="G31" i="29"/>
  <c r="F31" i="29"/>
  <c r="G26" i="29"/>
  <c r="I21" i="29"/>
  <c r="H21" i="29"/>
  <c r="I18" i="29"/>
  <c r="H18" i="29"/>
  <c r="I15" i="29"/>
  <c r="H15" i="29"/>
  <c r="G15" i="29"/>
  <c r="G13" i="29"/>
  <c r="G12" i="29"/>
  <c r="F11" i="29"/>
  <c r="G10" i="29"/>
  <c r="H6" i="29"/>
  <c r="G6" i="29"/>
  <c r="I5" i="29"/>
  <c r="I87" i="28"/>
  <c r="H87" i="28"/>
  <c r="B87" i="28"/>
  <c r="I86" i="28"/>
  <c r="H86" i="28"/>
  <c r="G86" i="28"/>
  <c r="B83" i="28"/>
  <c r="I80" i="28"/>
  <c r="H80" i="28"/>
  <c r="I79" i="28"/>
  <c r="H78" i="28"/>
  <c r="H76" i="28"/>
  <c r="I75" i="28"/>
  <c r="H75" i="28"/>
  <c r="I74" i="28"/>
  <c r="H74" i="28"/>
  <c r="I73" i="28"/>
  <c r="H73" i="28"/>
  <c r="G73" i="28"/>
  <c r="G72" i="28"/>
  <c r="G71" i="28"/>
  <c r="G69" i="28"/>
  <c r="E69" i="28"/>
  <c r="I67" i="28"/>
  <c r="H67" i="28"/>
  <c r="E67" i="28"/>
  <c r="I66" i="28"/>
  <c r="H66" i="28"/>
  <c r="G65" i="28"/>
  <c r="G63" i="28"/>
  <c r="G60" i="28"/>
  <c r="F60" i="28"/>
  <c r="I46" i="28"/>
  <c r="H46" i="28"/>
  <c r="F44" i="28"/>
  <c r="I38" i="28"/>
  <c r="H38" i="28"/>
  <c r="G37" i="28"/>
  <c r="G36" i="28"/>
  <c r="F36" i="28"/>
  <c r="G31" i="28"/>
  <c r="I26" i="28"/>
  <c r="H26" i="28"/>
  <c r="I23" i="28"/>
  <c r="H23" i="28"/>
  <c r="I20" i="28"/>
  <c r="H20" i="28"/>
  <c r="G20" i="28"/>
  <c r="G19" i="28"/>
  <c r="F18" i="28"/>
  <c r="G17" i="28"/>
  <c r="G13" i="28"/>
  <c r="G12" i="28"/>
  <c r="F11" i="28"/>
  <c r="G10" i="28"/>
  <c r="H6" i="28"/>
  <c r="G6" i="28"/>
  <c r="I5" i="28"/>
  <c r="I75" i="31"/>
  <c r="H75" i="31"/>
  <c r="B75" i="31"/>
  <c r="I74" i="31"/>
  <c r="H74" i="31"/>
  <c r="G74" i="31"/>
  <c r="B72" i="31"/>
  <c r="I69" i="31"/>
  <c r="H69" i="31"/>
  <c r="I68" i="31"/>
  <c r="H68" i="31"/>
  <c r="H67" i="31"/>
  <c r="H65" i="31"/>
  <c r="I64" i="31"/>
  <c r="H64" i="31"/>
  <c r="I63" i="31"/>
  <c r="H63" i="31"/>
  <c r="I62" i="31"/>
  <c r="H62" i="31"/>
  <c r="G62" i="31"/>
  <c r="G61" i="31"/>
  <c r="G59" i="31"/>
  <c r="E59" i="31"/>
  <c r="I57" i="31"/>
  <c r="H57" i="31"/>
  <c r="E57" i="31"/>
  <c r="I56" i="31"/>
  <c r="H56" i="31"/>
  <c r="G55" i="31"/>
  <c r="G50" i="31"/>
  <c r="F50" i="31"/>
  <c r="I37" i="31"/>
  <c r="H37" i="31"/>
  <c r="F35" i="31"/>
  <c r="I29" i="31"/>
  <c r="H29" i="31"/>
  <c r="G28" i="31"/>
  <c r="G27" i="31"/>
  <c r="F27" i="31"/>
  <c r="G22" i="31"/>
  <c r="I17" i="31"/>
  <c r="H17" i="31"/>
  <c r="I14" i="31"/>
  <c r="H14" i="31"/>
  <c r="I11" i="31"/>
  <c r="H11" i="31"/>
  <c r="G11" i="31"/>
  <c r="F11" i="31"/>
  <c r="G9" i="31"/>
  <c r="I5" i="31"/>
  <c r="H5" i="31"/>
  <c r="I76" i="30"/>
  <c r="H76" i="30"/>
  <c r="B76" i="30"/>
  <c r="I75" i="30"/>
  <c r="H75" i="30"/>
  <c r="B72" i="30"/>
  <c r="I69" i="30"/>
  <c r="H69" i="30"/>
  <c r="I68" i="30"/>
  <c r="H68" i="30"/>
  <c r="H67" i="30"/>
  <c r="H65" i="30"/>
  <c r="I64" i="30"/>
  <c r="H64" i="30"/>
  <c r="I63" i="30"/>
  <c r="H63" i="30"/>
  <c r="I62" i="30"/>
  <c r="H62" i="30"/>
  <c r="G62" i="30"/>
  <c r="G61" i="30"/>
  <c r="G59" i="30"/>
  <c r="E59" i="30"/>
  <c r="B59" i="30"/>
  <c r="I57" i="30"/>
  <c r="H57" i="30"/>
  <c r="E57" i="30"/>
  <c r="I56" i="30"/>
  <c r="H56" i="30"/>
  <c r="G55" i="30"/>
  <c r="G50" i="30"/>
  <c r="F50" i="30"/>
  <c r="I37" i="30"/>
  <c r="H37" i="30"/>
  <c r="F35" i="30"/>
  <c r="I29" i="30"/>
  <c r="H29" i="30"/>
  <c r="G28" i="30"/>
  <c r="G27" i="30"/>
  <c r="F27" i="30"/>
  <c r="G22" i="30"/>
  <c r="I17" i="30"/>
  <c r="H17" i="30"/>
  <c r="F15" i="30"/>
  <c r="I14" i="30"/>
  <c r="H14" i="30"/>
  <c r="F14" i="30"/>
  <c r="F13" i="30"/>
  <c r="F12" i="30"/>
  <c r="I11" i="30"/>
  <c r="H11" i="30"/>
  <c r="F11" i="30"/>
  <c r="F10" i="30"/>
  <c r="G9" i="30"/>
  <c r="I5" i="30"/>
  <c r="H5" i="30"/>
  <c r="I77" i="6"/>
  <c r="H77" i="6"/>
  <c r="B77" i="6"/>
  <c r="I76" i="6"/>
  <c r="H76" i="6"/>
  <c r="G76" i="6"/>
  <c r="B73" i="6"/>
  <c r="G72" i="6"/>
  <c r="I70" i="6"/>
  <c r="H70" i="6"/>
  <c r="I69" i="6"/>
  <c r="H69" i="6"/>
  <c r="H68" i="6"/>
  <c r="H66" i="6"/>
  <c r="I65" i="6"/>
  <c r="H65" i="6"/>
  <c r="I64" i="6"/>
  <c r="H64" i="6"/>
  <c r="I63" i="6"/>
  <c r="H63" i="6"/>
  <c r="G63" i="6"/>
  <c r="G62" i="6"/>
  <c r="G60" i="6"/>
  <c r="E60" i="6"/>
  <c r="B60" i="6"/>
  <c r="I58" i="6"/>
  <c r="H58" i="6"/>
  <c r="E58" i="6"/>
  <c r="I57" i="6"/>
  <c r="H57" i="6"/>
  <c r="G56" i="6"/>
  <c r="G51" i="6"/>
  <c r="F51" i="6"/>
  <c r="I37" i="6"/>
  <c r="H37" i="6"/>
  <c r="F35" i="6"/>
  <c r="I29" i="6"/>
  <c r="H29" i="6"/>
  <c r="G28" i="6"/>
  <c r="G27" i="6"/>
  <c r="F27" i="6"/>
  <c r="G22" i="6"/>
  <c r="I17" i="6"/>
  <c r="H17" i="6"/>
  <c r="I14" i="6"/>
  <c r="H14" i="6"/>
  <c r="I11" i="6"/>
  <c r="H11" i="6"/>
  <c r="G11" i="6"/>
  <c r="F10" i="6"/>
  <c r="G9" i="6"/>
  <c r="N8" i="6"/>
  <c r="L8" i="6"/>
  <c r="I5" i="6"/>
  <c r="H5" i="6"/>
  <c r="D3" i="1"/>
  <c r="D2" i="1"/>
  <c r="E1" i="1"/>
  <c r="F3" i="1" s="1"/>
  <c r="F16" i="49" l="1"/>
  <c r="F16" i="77"/>
  <c r="O34" i="43"/>
  <c r="F31" i="43"/>
  <c r="F34" i="43" s="1"/>
  <c r="G34" i="43" s="1"/>
  <c r="G35" i="43" s="1"/>
  <c r="H38" i="43" s="1"/>
  <c r="C57" i="48"/>
  <c r="F17" i="49" s="1"/>
  <c r="F72" i="48"/>
  <c r="F77" i="48"/>
  <c r="F31" i="49"/>
  <c r="F32" i="49" s="1"/>
  <c r="G33" i="49" s="1"/>
  <c r="H53" i="49"/>
  <c r="H28" i="43"/>
  <c r="N56" i="43"/>
  <c r="N58" i="43" s="1"/>
  <c r="G20" i="49" l="1"/>
  <c r="D19" i="77"/>
  <c r="F19" i="77" s="1"/>
  <c r="G19" i="77" s="1"/>
  <c r="H19" i="77" s="1"/>
  <c r="H40" i="77" s="1"/>
  <c r="E53" i="77" s="1"/>
  <c r="H53" i="77" s="1"/>
  <c r="H33" i="49"/>
  <c r="E57" i="49" s="1"/>
  <c r="G57" i="49" s="1"/>
  <c r="E39" i="43"/>
  <c r="H39" i="43" s="1"/>
  <c r="E55" i="77" l="1"/>
  <c r="H20" i="49"/>
  <c r="H41" i="49" s="1"/>
  <c r="E54" i="49" s="1"/>
  <c r="H54" i="49" s="1"/>
  <c r="E56" i="49" s="1"/>
  <c r="G56" i="49" s="1"/>
  <c r="H43" i="43"/>
  <c r="E41" i="43"/>
  <c r="G41" i="43" s="1"/>
  <c r="H42" i="43" s="1"/>
  <c r="H44" i="43" s="1"/>
  <c r="K57" i="77" l="1"/>
  <c r="N57" i="77" s="1"/>
  <c r="N58" i="77" s="1"/>
  <c r="G55" i="77"/>
  <c r="H56" i="77" s="1"/>
  <c r="H57" i="77" s="1"/>
  <c r="H58" i="77" s="1"/>
  <c r="H59" i="77" s="1"/>
  <c r="H60" i="77" s="1"/>
  <c r="H62" i="77" s="1"/>
  <c r="H68" i="77" s="1"/>
  <c r="B68" i="77" s="1"/>
  <c r="H57" i="49"/>
  <c r="H58" i="49" s="1"/>
  <c r="K58" i="49"/>
  <c r="N58" i="49" s="1"/>
  <c r="N59" i="49" s="1"/>
  <c r="H45" i="43"/>
  <c r="H46" i="43"/>
  <c r="H48" i="43" s="1"/>
  <c r="H54" i="43" l="1"/>
  <c r="B54" i="43" s="1"/>
  <c r="H59" i="49"/>
  <c r="H60" i="49" s="1"/>
  <c r="H61" i="49" l="1"/>
  <c r="H64" i="49" s="1"/>
  <c r="H70" i="49" s="1"/>
  <c r="B70" i="49" s="1"/>
</calcChain>
</file>

<file path=xl/comments1.xml><?xml version="1.0" encoding="utf-8"?>
<comments xmlns="http://schemas.openxmlformats.org/spreadsheetml/2006/main">
  <authors>
    <author>RATHORE</author>
  </authors>
  <commentList>
    <comment ref="D2" authorId="0" shapeId="0">
      <text>
        <r>
          <rPr>
            <b/>
            <sz val="8"/>
            <color indexed="81"/>
            <rFont val="Tahoma"/>
            <family val="2"/>
          </rPr>
          <t>RATHORE:</t>
        </r>
        <r>
          <rPr>
            <sz val="8"/>
            <color indexed="81"/>
            <rFont val="Tahoma"/>
            <family val="2"/>
          </rPr>
          <t xml:space="preserve">
</t>
        </r>
      </text>
    </comment>
    <comment ref="E2" authorId="0" shapeId="0">
      <text>
        <r>
          <rPr>
            <b/>
            <sz val="8"/>
            <color indexed="81"/>
            <rFont val="Tahoma"/>
            <family val="2"/>
          </rPr>
          <t>RATHORE:</t>
        </r>
        <r>
          <rPr>
            <sz val="8"/>
            <color indexed="81"/>
            <rFont val="Tahoma"/>
            <family val="2"/>
          </rPr>
          <t xml:space="preserve">
</t>
        </r>
      </text>
    </comment>
    <comment ref="D3" authorId="0" shapeId="0">
      <text>
        <r>
          <rPr>
            <b/>
            <sz val="8"/>
            <color indexed="81"/>
            <rFont val="Tahoma"/>
            <family val="2"/>
          </rPr>
          <t>RATHORE:</t>
        </r>
        <r>
          <rPr>
            <sz val="8"/>
            <color indexed="81"/>
            <rFont val="Tahoma"/>
            <family val="2"/>
          </rPr>
          <t xml:space="preserve">
</t>
        </r>
      </text>
    </comment>
  </commentList>
</comments>
</file>

<file path=xl/comments2.xml><?xml version="1.0" encoding="utf-8"?>
<comments xmlns="http://schemas.openxmlformats.org/spreadsheetml/2006/main">
  <authors>
    <author>RATHORE</author>
    <author>rathore's</author>
  </authors>
  <commentList>
    <comment ref="C52" authorId="0" shapeId="0">
      <text>
        <r>
          <rPr>
            <b/>
            <sz val="8"/>
            <color indexed="81"/>
            <rFont val="Tahoma"/>
            <family val="2"/>
          </rPr>
          <t>RATHORE:</t>
        </r>
        <r>
          <rPr>
            <sz val="8"/>
            <color indexed="81"/>
            <rFont val="Tahoma"/>
            <family val="2"/>
          </rPr>
          <t xml:space="preserve">
MAX AMT.RS. 20000</t>
        </r>
      </text>
    </comment>
    <comment ref="C54" authorId="0" shapeId="0">
      <text>
        <r>
          <rPr>
            <b/>
            <sz val="8"/>
            <color indexed="81"/>
            <rFont val="Tahoma"/>
            <family val="2"/>
          </rPr>
          <t>RATHORE:</t>
        </r>
        <r>
          <rPr>
            <sz val="8"/>
            <color indexed="81"/>
            <rFont val="Tahoma"/>
            <family val="2"/>
          </rPr>
          <t xml:space="preserve">
MAX AMT.RS. 20000</t>
        </r>
      </text>
    </comment>
    <comment ref="C55" authorId="0" shapeId="0">
      <text>
        <r>
          <rPr>
            <b/>
            <sz val="8"/>
            <color indexed="81"/>
            <rFont val="Tahoma"/>
            <family val="2"/>
          </rPr>
          <t>RATHORE:</t>
        </r>
        <r>
          <rPr>
            <sz val="8"/>
            <color indexed="81"/>
            <rFont val="Tahoma"/>
            <family val="2"/>
          </rPr>
          <t xml:space="preserve">
</t>
        </r>
      </text>
    </comment>
    <comment ref="C56" authorId="0" shapeId="0">
      <text>
        <r>
          <rPr>
            <b/>
            <sz val="8"/>
            <color indexed="81"/>
            <rFont val="Tahoma"/>
            <family val="2"/>
          </rPr>
          <t>RATHORE:</t>
        </r>
        <r>
          <rPr>
            <sz val="8"/>
            <color indexed="81"/>
            <rFont val="Tahoma"/>
            <family val="2"/>
          </rPr>
          <t xml:space="preserve">
</t>
        </r>
      </text>
    </comment>
    <comment ref="C57" authorId="0" shapeId="0">
      <text>
        <r>
          <rPr>
            <b/>
            <sz val="8"/>
            <color indexed="81"/>
            <rFont val="Tahoma"/>
            <family val="2"/>
          </rPr>
          <t>RATHORE:</t>
        </r>
        <r>
          <rPr>
            <sz val="8"/>
            <color indexed="81"/>
            <rFont val="Tahoma"/>
            <family val="2"/>
          </rPr>
          <t xml:space="preserve">
</t>
        </r>
      </text>
    </comment>
    <comment ref="C72" authorId="0" shapeId="0">
      <text>
        <r>
          <rPr>
            <b/>
            <sz val="8"/>
            <color indexed="81"/>
            <rFont val="Tahoma"/>
            <family val="2"/>
          </rPr>
          <t>RATHORE:</t>
        </r>
        <r>
          <rPr>
            <sz val="8"/>
            <color indexed="81"/>
            <rFont val="Tahoma"/>
            <family val="2"/>
          </rPr>
          <t xml:space="preserve">
</t>
        </r>
      </text>
    </comment>
    <comment ref="C76" authorId="1" shapeId="0">
      <text>
        <r>
          <rPr>
            <b/>
            <sz val="8"/>
            <color indexed="81"/>
            <rFont val="Tahoma"/>
            <family val="2"/>
          </rPr>
          <t>rathore's:</t>
        </r>
        <r>
          <rPr>
            <sz val="8"/>
            <color indexed="81"/>
            <rFont val="Tahoma"/>
            <family val="2"/>
          </rPr>
          <t xml:space="preserve">
</t>
        </r>
      </text>
    </comment>
    <comment ref="B77" authorId="0" shapeId="0">
      <text>
        <r>
          <rPr>
            <b/>
            <sz val="8"/>
            <color indexed="81"/>
            <rFont val="Tahoma"/>
            <family val="2"/>
          </rPr>
          <t>RATHORE:</t>
        </r>
        <r>
          <rPr>
            <sz val="8"/>
            <color indexed="81"/>
            <rFont val="Tahoma"/>
            <family val="2"/>
          </rPr>
          <t xml:space="preserve">
</t>
        </r>
      </text>
    </comment>
  </commentList>
</comments>
</file>

<file path=xl/comments3.xml><?xml version="1.0" encoding="utf-8"?>
<comments xmlns="http://schemas.openxmlformats.org/spreadsheetml/2006/main">
  <authors>
    <author>RATHORE</author>
    <author>rathore's</author>
  </authors>
  <commentList>
    <comment ref="C51" authorId="0" shapeId="0">
      <text>
        <r>
          <rPr>
            <b/>
            <sz val="8"/>
            <color indexed="81"/>
            <rFont val="Tahoma"/>
            <family val="2"/>
          </rPr>
          <t>RATHORE:</t>
        </r>
        <r>
          <rPr>
            <sz val="8"/>
            <color indexed="81"/>
            <rFont val="Tahoma"/>
            <family val="2"/>
          </rPr>
          <t xml:space="preserve">
MAX AMT.RS. 20000</t>
        </r>
      </text>
    </comment>
    <comment ref="C53" authorId="0" shapeId="0">
      <text>
        <r>
          <rPr>
            <b/>
            <sz val="8"/>
            <color indexed="81"/>
            <rFont val="Tahoma"/>
            <family val="2"/>
          </rPr>
          <t>RATHORE:</t>
        </r>
        <r>
          <rPr>
            <sz val="8"/>
            <color indexed="81"/>
            <rFont val="Tahoma"/>
            <family val="2"/>
          </rPr>
          <t xml:space="preserve">
MAX AMT.RS. 20000</t>
        </r>
      </text>
    </comment>
    <comment ref="C54" authorId="0" shapeId="0">
      <text>
        <r>
          <rPr>
            <b/>
            <sz val="8"/>
            <color indexed="81"/>
            <rFont val="Tahoma"/>
            <family val="2"/>
          </rPr>
          <t>RATHORE:</t>
        </r>
        <r>
          <rPr>
            <sz val="8"/>
            <color indexed="81"/>
            <rFont val="Tahoma"/>
            <family val="2"/>
          </rPr>
          <t xml:space="preserve">
</t>
        </r>
      </text>
    </comment>
    <comment ref="C55" authorId="0" shapeId="0">
      <text>
        <r>
          <rPr>
            <b/>
            <sz val="8"/>
            <color indexed="81"/>
            <rFont val="Tahoma"/>
            <family val="2"/>
          </rPr>
          <t>RATHORE:</t>
        </r>
        <r>
          <rPr>
            <sz val="8"/>
            <color indexed="81"/>
            <rFont val="Tahoma"/>
            <family val="2"/>
          </rPr>
          <t xml:space="preserve">
</t>
        </r>
      </text>
    </comment>
    <comment ref="C56" authorId="0" shapeId="0">
      <text>
        <r>
          <rPr>
            <b/>
            <sz val="8"/>
            <color indexed="81"/>
            <rFont val="Tahoma"/>
            <family val="2"/>
          </rPr>
          <t>RATHORE:</t>
        </r>
        <r>
          <rPr>
            <sz val="8"/>
            <color indexed="81"/>
            <rFont val="Tahoma"/>
            <family val="2"/>
          </rPr>
          <t xml:space="preserve">
</t>
        </r>
      </text>
    </comment>
    <comment ref="C71" authorId="0" shapeId="0">
      <text>
        <r>
          <rPr>
            <b/>
            <sz val="8"/>
            <color indexed="81"/>
            <rFont val="Tahoma"/>
            <family val="2"/>
          </rPr>
          <t>RATHORE:</t>
        </r>
        <r>
          <rPr>
            <sz val="8"/>
            <color indexed="81"/>
            <rFont val="Tahoma"/>
            <family val="2"/>
          </rPr>
          <t xml:space="preserve">
</t>
        </r>
      </text>
    </comment>
    <comment ref="C75" authorId="1" shapeId="0">
      <text>
        <r>
          <rPr>
            <b/>
            <sz val="8"/>
            <color indexed="81"/>
            <rFont val="Tahoma"/>
            <family val="2"/>
          </rPr>
          <t>rathore's:</t>
        </r>
        <r>
          <rPr>
            <sz val="8"/>
            <color indexed="81"/>
            <rFont val="Tahoma"/>
            <family val="2"/>
          </rPr>
          <t xml:space="preserve">
</t>
        </r>
      </text>
    </comment>
    <comment ref="B76" authorId="0" shapeId="0">
      <text>
        <r>
          <rPr>
            <b/>
            <sz val="8"/>
            <color indexed="81"/>
            <rFont val="Tahoma"/>
            <family val="2"/>
          </rPr>
          <t>RATHORE:</t>
        </r>
        <r>
          <rPr>
            <sz val="8"/>
            <color indexed="81"/>
            <rFont val="Tahoma"/>
            <family val="2"/>
          </rPr>
          <t xml:space="preserve">
</t>
        </r>
      </text>
    </comment>
  </commentList>
</comments>
</file>

<file path=xl/comments4.xml><?xml version="1.0" encoding="utf-8"?>
<comments xmlns="http://schemas.openxmlformats.org/spreadsheetml/2006/main">
  <authors>
    <author>RATHORE</author>
    <author>rathore's</author>
  </authors>
  <commentList>
    <comment ref="C51" authorId="0" shapeId="0">
      <text>
        <r>
          <rPr>
            <b/>
            <sz val="8"/>
            <color indexed="81"/>
            <rFont val="Tahoma"/>
            <family val="2"/>
          </rPr>
          <t>RATHORE:</t>
        </r>
        <r>
          <rPr>
            <sz val="8"/>
            <color indexed="81"/>
            <rFont val="Tahoma"/>
            <family val="2"/>
          </rPr>
          <t xml:space="preserve">
MAX AMT.RS. 20000</t>
        </r>
      </text>
    </comment>
    <comment ref="C53" authorId="0" shapeId="0">
      <text>
        <r>
          <rPr>
            <b/>
            <sz val="8"/>
            <color indexed="81"/>
            <rFont val="Tahoma"/>
            <family val="2"/>
          </rPr>
          <t>RATHORE:</t>
        </r>
        <r>
          <rPr>
            <sz val="8"/>
            <color indexed="81"/>
            <rFont val="Tahoma"/>
            <family val="2"/>
          </rPr>
          <t xml:space="preserve">
MAX AMT.RS. 20000</t>
        </r>
      </text>
    </comment>
    <comment ref="C54" authorId="0" shapeId="0">
      <text>
        <r>
          <rPr>
            <b/>
            <sz val="8"/>
            <color indexed="81"/>
            <rFont val="Tahoma"/>
            <family val="2"/>
          </rPr>
          <t>RATHORE:</t>
        </r>
        <r>
          <rPr>
            <sz val="8"/>
            <color indexed="81"/>
            <rFont val="Tahoma"/>
            <family val="2"/>
          </rPr>
          <t xml:space="preserve">
</t>
        </r>
      </text>
    </comment>
    <comment ref="C55" authorId="0" shapeId="0">
      <text>
        <r>
          <rPr>
            <b/>
            <sz val="8"/>
            <color indexed="81"/>
            <rFont val="Tahoma"/>
            <family val="2"/>
          </rPr>
          <t>RATHORE:</t>
        </r>
        <r>
          <rPr>
            <sz val="8"/>
            <color indexed="81"/>
            <rFont val="Tahoma"/>
            <family val="2"/>
          </rPr>
          <t xml:space="preserve">
</t>
        </r>
      </text>
    </comment>
    <comment ref="C56" authorId="0" shapeId="0">
      <text>
        <r>
          <rPr>
            <b/>
            <sz val="8"/>
            <color indexed="81"/>
            <rFont val="Tahoma"/>
            <family val="2"/>
          </rPr>
          <t>RATHORE:</t>
        </r>
        <r>
          <rPr>
            <sz val="8"/>
            <color indexed="81"/>
            <rFont val="Tahoma"/>
            <family val="2"/>
          </rPr>
          <t xml:space="preserve">
</t>
        </r>
      </text>
    </comment>
    <comment ref="C71" authorId="0" shapeId="0">
      <text>
        <r>
          <rPr>
            <b/>
            <sz val="8"/>
            <color indexed="81"/>
            <rFont val="Tahoma"/>
            <family val="2"/>
          </rPr>
          <t>RATHORE:</t>
        </r>
        <r>
          <rPr>
            <sz val="8"/>
            <color indexed="81"/>
            <rFont val="Tahoma"/>
            <family val="2"/>
          </rPr>
          <t xml:space="preserve">
</t>
        </r>
      </text>
    </comment>
    <comment ref="C74" authorId="1" shapeId="0">
      <text>
        <r>
          <rPr>
            <b/>
            <sz val="8"/>
            <color indexed="81"/>
            <rFont val="Tahoma"/>
            <family val="2"/>
          </rPr>
          <t>rathore's:</t>
        </r>
        <r>
          <rPr>
            <sz val="8"/>
            <color indexed="81"/>
            <rFont val="Tahoma"/>
            <family val="2"/>
          </rPr>
          <t xml:space="preserve">
</t>
        </r>
      </text>
    </comment>
    <comment ref="B75" authorId="0" shapeId="0">
      <text>
        <r>
          <rPr>
            <b/>
            <sz val="8"/>
            <color indexed="81"/>
            <rFont val="Tahoma"/>
            <family val="2"/>
          </rPr>
          <t>RATHORE:</t>
        </r>
        <r>
          <rPr>
            <sz val="8"/>
            <color indexed="81"/>
            <rFont val="Tahoma"/>
            <family val="2"/>
          </rPr>
          <t xml:space="preserve">
</t>
        </r>
      </text>
    </comment>
  </commentList>
</comments>
</file>

<file path=xl/comments5.xml><?xml version="1.0" encoding="utf-8"?>
<comments xmlns="http://schemas.openxmlformats.org/spreadsheetml/2006/main">
  <authors>
    <author>RATHORE</author>
    <author>rathore's</author>
  </authors>
  <commentList>
    <comment ref="C61" authorId="0" shapeId="0">
      <text>
        <r>
          <rPr>
            <b/>
            <sz val="8"/>
            <color indexed="81"/>
            <rFont val="Tahoma"/>
            <family val="2"/>
          </rPr>
          <t>RATHORE:</t>
        </r>
        <r>
          <rPr>
            <sz val="8"/>
            <color indexed="81"/>
            <rFont val="Tahoma"/>
            <family val="2"/>
          </rPr>
          <t xml:space="preserve">
MAX AMT.RS. 20000</t>
        </r>
      </text>
    </comment>
    <comment ref="C63" authorId="0" shapeId="0">
      <text>
        <r>
          <rPr>
            <b/>
            <sz val="8"/>
            <color indexed="81"/>
            <rFont val="Tahoma"/>
            <family val="2"/>
          </rPr>
          <t>RATHORE:</t>
        </r>
        <r>
          <rPr>
            <sz val="8"/>
            <color indexed="81"/>
            <rFont val="Tahoma"/>
            <family val="2"/>
          </rPr>
          <t xml:space="preserve">
MAX AMT.RS. 20000</t>
        </r>
      </text>
    </comment>
    <comment ref="C64" authorId="0" shapeId="0">
      <text>
        <r>
          <rPr>
            <b/>
            <sz val="8"/>
            <color indexed="81"/>
            <rFont val="Tahoma"/>
            <family val="2"/>
          </rPr>
          <t>RATHORE:</t>
        </r>
        <r>
          <rPr>
            <sz val="8"/>
            <color indexed="81"/>
            <rFont val="Tahoma"/>
            <family val="2"/>
          </rPr>
          <t xml:space="preserve">
</t>
        </r>
      </text>
    </comment>
    <comment ref="C65" authorId="0" shapeId="0">
      <text>
        <r>
          <rPr>
            <b/>
            <sz val="8"/>
            <color indexed="81"/>
            <rFont val="Tahoma"/>
            <family val="2"/>
          </rPr>
          <t>RATHORE:</t>
        </r>
        <r>
          <rPr>
            <sz val="8"/>
            <color indexed="81"/>
            <rFont val="Tahoma"/>
            <family val="2"/>
          </rPr>
          <t xml:space="preserve">
</t>
        </r>
      </text>
    </comment>
    <comment ref="C66" authorId="0" shapeId="0">
      <text>
        <r>
          <rPr>
            <b/>
            <sz val="8"/>
            <color indexed="81"/>
            <rFont val="Tahoma"/>
            <family val="2"/>
          </rPr>
          <t>RATHORE:</t>
        </r>
        <r>
          <rPr>
            <sz val="8"/>
            <color indexed="81"/>
            <rFont val="Tahoma"/>
            <family val="2"/>
          </rPr>
          <t xml:space="preserve">
</t>
        </r>
      </text>
    </comment>
    <comment ref="C82" authorId="0" shapeId="0">
      <text>
        <r>
          <rPr>
            <b/>
            <sz val="8"/>
            <color indexed="81"/>
            <rFont val="Tahoma"/>
            <family val="2"/>
          </rPr>
          <t>RATHORE:</t>
        </r>
        <r>
          <rPr>
            <sz val="8"/>
            <color indexed="81"/>
            <rFont val="Tahoma"/>
            <family val="2"/>
          </rPr>
          <t xml:space="preserve">
</t>
        </r>
      </text>
    </comment>
    <comment ref="C86" authorId="1" shapeId="0">
      <text>
        <r>
          <rPr>
            <b/>
            <sz val="8"/>
            <color indexed="81"/>
            <rFont val="Tahoma"/>
            <family val="2"/>
          </rPr>
          <t>rathore's:</t>
        </r>
        <r>
          <rPr>
            <sz val="8"/>
            <color indexed="81"/>
            <rFont val="Tahoma"/>
            <family val="2"/>
          </rPr>
          <t xml:space="preserve">
</t>
        </r>
      </text>
    </comment>
    <comment ref="B87" authorId="0" shapeId="0">
      <text>
        <r>
          <rPr>
            <b/>
            <sz val="8"/>
            <color indexed="81"/>
            <rFont val="Tahoma"/>
            <family val="2"/>
          </rPr>
          <t>RATHORE:</t>
        </r>
        <r>
          <rPr>
            <sz val="8"/>
            <color indexed="81"/>
            <rFont val="Tahoma"/>
            <family val="2"/>
          </rPr>
          <t xml:space="preserve">
</t>
        </r>
      </text>
    </comment>
  </commentList>
</comments>
</file>

<file path=xl/comments6.xml><?xml version="1.0" encoding="utf-8"?>
<comments xmlns="http://schemas.openxmlformats.org/spreadsheetml/2006/main">
  <authors>
    <author>RATHORE</author>
    <author>rathore's</author>
  </authors>
  <commentList>
    <comment ref="C56" authorId="0" shapeId="0">
      <text>
        <r>
          <rPr>
            <b/>
            <sz val="8"/>
            <color indexed="81"/>
            <rFont val="Tahoma"/>
            <family val="2"/>
          </rPr>
          <t>RATHORE:</t>
        </r>
        <r>
          <rPr>
            <sz val="8"/>
            <color indexed="81"/>
            <rFont val="Tahoma"/>
            <family val="2"/>
          </rPr>
          <t xml:space="preserve">
MAX AMT.RS. 20000</t>
        </r>
      </text>
    </comment>
    <comment ref="C58" authorId="0" shapeId="0">
      <text>
        <r>
          <rPr>
            <b/>
            <sz val="8"/>
            <color indexed="81"/>
            <rFont val="Tahoma"/>
            <family val="2"/>
          </rPr>
          <t>RATHORE:</t>
        </r>
        <r>
          <rPr>
            <sz val="8"/>
            <color indexed="81"/>
            <rFont val="Tahoma"/>
            <family val="2"/>
          </rPr>
          <t xml:space="preserve">
MAX AMT.RS. 20000</t>
        </r>
      </text>
    </comment>
    <comment ref="C59" authorId="0" shapeId="0">
      <text>
        <r>
          <rPr>
            <b/>
            <sz val="8"/>
            <color indexed="81"/>
            <rFont val="Tahoma"/>
            <family val="2"/>
          </rPr>
          <t>RATHORE:</t>
        </r>
        <r>
          <rPr>
            <sz val="8"/>
            <color indexed="81"/>
            <rFont val="Tahoma"/>
            <family val="2"/>
          </rPr>
          <t xml:space="preserve">
</t>
        </r>
      </text>
    </comment>
    <comment ref="C60" authorId="0" shapeId="0">
      <text>
        <r>
          <rPr>
            <b/>
            <sz val="8"/>
            <color indexed="81"/>
            <rFont val="Tahoma"/>
            <family val="2"/>
          </rPr>
          <t>RATHORE:</t>
        </r>
        <r>
          <rPr>
            <sz val="8"/>
            <color indexed="81"/>
            <rFont val="Tahoma"/>
            <family val="2"/>
          </rPr>
          <t xml:space="preserve">
</t>
        </r>
      </text>
    </comment>
    <comment ref="C61" authorId="0" shapeId="0">
      <text>
        <r>
          <rPr>
            <b/>
            <sz val="8"/>
            <color indexed="81"/>
            <rFont val="Tahoma"/>
            <family val="2"/>
          </rPr>
          <t>RATHORE:</t>
        </r>
        <r>
          <rPr>
            <sz val="8"/>
            <color indexed="81"/>
            <rFont val="Tahoma"/>
            <family val="2"/>
          </rPr>
          <t xml:space="preserve">
</t>
        </r>
      </text>
    </comment>
    <comment ref="C77" authorId="0" shapeId="0">
      <text>
        <r>
          <rPr>
            <b/>
            <sz val="8"/>
            <color indexed="81"/>
            <rFont val="Tahoma"/>
            <family val="2"/>
          </rPr>
          <t>RATHORE:</t>
        </r>
        <r>
          <rPr>
            <sz val="8"/>
            <color indexed="81"/>
            <rFont val="Tahoma"/>
            <family val="2"/>
          </rPr>
          <t xml:space="preserve">
</t>
        </r>
      </text>
    </comment>
    <comment ref="C81" authorId="1" shapeId="0">
      <text>
        <r>
          <rPr>
            <b/>
            <sz val="8"/>
            <color indexed="81"/>
            <rFont val="Tahoma"/>
            <family val="2"/>
          </rPr>
          <t>rathore's:</t>
        </r>
        <r>
          <rPr>
            <sz val="8"/>
            <color indexed="81"/>
            <rFont val="Tahoma"/>
            <family val="2"/>
          </rPr>
          <t xml:space="preserve">
</t>
        </r>
      </text>
    </comment>
    <comment ref="B82" authorId="0" shapeId="0">
      <text>
        <r>
          <rPr>
            <b/>
            <sz val="8"/>
            <color indexed="81"/>
            <rFont val="Tahoma"/>
            <family val="2"/>
          </rPr>
          <t>RATHORE:</t>
        </r>
        <r>
          <rPr>
            <sz val="8"/>
            <color indexed="81"/>
            <rFont val="Tahoma"/>
            <family val="2"/>
          </rPr>
          <t xml:space="preserve">
</t>
        </r>
      </text>
    </comment>
  </commentList>
</comments>
</file>

<file path=xl/comments7.xml><?xml version="1.0" encoding="utf-8"?>
<comments xmlns="http://schemas.openxmlformats.org/spreadsheetml/2006/main">
  <authors>
    <author>RATHORE</author>
    <author>rathore's</author>
  </authors>
  <commentList>
    <comment ref="C56" authorId="0" shapeId="0">
      <text>
        <r>
          <rPr>
            <b/>
            <sz val="8"/>
            <color indexed="81"/>
            <rFont val="Tahoma"/>
            <family val="2"/>
          </rPr>
          <t>RATHORE:</t>
        </r>
        <r>
          <rPr>
            <sz val="8"/>
            <color indexed="81"/>
            <rFont val="Tahoma"/>
            <family val="2"/>
          </rPr>
          <t xml:space="preserve">
MAX AMT.RS. 20000</t>
        </r>
      </text>
    </comment>
    <comment ref="C58" authorId="0" shapeId="0">
      <text>
        <r>
          <rPr>
            <b/>
            <sz val="8"/>
            <color indexed="81"/>
            <rFont val="Tahoma"/>
            <family val="2"/>
          </rPr>
          <t>RATHORE:</t>
        </r>
        <r>
          <rPr>
            <sz val="8"/>
            <color indexed="81"/>
            <rFont val="Tahoma"/>
            <family val="2"/>
          </rPr>
          <t xml:space="preserve">
MAX AMT.RS. 20000</t>
        </r>
      </text>
    </comment>
    <comment ref="C59" authorId="0" shapeId="0">
      <text>
        <r>
          <rPr>
            <b/>
            <sz val="8"/>
            <color indexed="81"/>
            <rFont val="Tahoma"/>
            <family val="2"/>
          </rPr>
          <t>RATHORE:</t>
        </r>
        <r>
          <rPr>
            <sz val="8"/>
            <color indexed="81"/>
            <rFont val="Tahoma"/>
            <family val="2"/>
          </rPr>
          <t xml:space="preserve">
</t>
        </r>
      </text>
    </comment>
    <comment ref="C60" authorId="0" shapeId="0">
      <text>
        <r>
          <rPr>
            <b/>
            <sz val="8"/>
            <color indexed="81"/>
            <rFont val="Tahoma"/>
            <family val="2"/>
          </rPr>
          <t>RATHORE:</t>
        </r>
        <r>
          <rPr>
            <sz val="8"/>
            <color indexed="81"/>
            <rFont val="Tahoma"/>
            <family val="2"/>
          </rPr>
          <t xml:space="preserve">
</t>
        </r>
      </text>
    </comment>
    <comment ref="C61" authorId="0" shapeId="0">
      <text>
        <r>
          <rPr>
            <b/>
            <sz val="8"/>
            <color indexed="81"/>
            <rFont val="Tahoma"/>
            <family val="2"/>
          </rPr>
          <t>RATHORE:</t>
        </r>
        <r>
          <rPr>
            <sz val="8"/>
            <color indexed="81"/>
            <rFont val="Tahoma"/>
            <family val="2"/>
          </rPr>
          <t xml:space="preserve">
</t>
        </r>
      </text>
    </comment>
    <comment ref="C76" authorId="0" shapeId="0">
      <text>
        <r>
          <rPr>
            <b/>
            <sz val="8"/>
            <color indexed="81"/>
            <rFont val="Tahoma"/>
            <family val="2"/>
          </rPr>
          <t>RATHORE:</t>
        </r>
        <r>
          <rPr>
            <sz val="8"/>
            <color indexed="81"/>
            <rFont val="Tahoma"/>
            <family val="2"/>
          </rPr>
          <t xml:space="preserve">
</t>
        </r>
      </text>
    </comment>
    <comment ref="C79" authorId="1" shapeId="0">
      <text>
        <r>
          <rPr>
            <b/>
            <sz val="8"/>
            <color indexed="81"/>
            <rFont val="Tahoma"/>
            <family val="2"/>
          </rPr>
          <t>rathore's:</t>
        </r>
        <r>
          <rPr>
            <sz val="8"/>
            <color indexed="81"/>
            <rFont val="Tahoma"/>
            <family val="2"/>
          </rPr>
          <t xml:space="preserve">
</t>
        </r>
      </text>
    </comment>
    <comment ref="B80" authorId="0" shapeId="0">
      <text>
        <r>
          <rPr>
            <b/>
            <sz val="8"/>
            <color indexed="81"/>
            <rFont val="Tahoma"/>
            <family val="2"/>
          </rPr>
          <t>RATHORE:</t>
        </r>
        <r>
          <rPr>
            <sz val="8"/>
            <color indexed="81"/>
            <rFont val="Tahoma"/>
            <family val="2"/>
          </rPr>
          <t xml:space="preserve">
</t>
        </r>
      </text>
    </comment>
  </commentList>
</comments>
</file>

<file path=xl/comments8.xml><?xml version="1.0" encoding="utf-8"?>
<comments xmlns="http://schemas.openxmlformats.org/spreadsheetml/2006/main">
  <authors>
    <author>RATHORE</author>
    <author>rathore's</author>
  </authors>
  <commentList>
    <comment ref="C68" authorId="0" shapeId="0">
      <text>
        <r>
          <rPr>
            <b/>
            <sz val="8"/>
            <color indexed="81"/>
            <rFont val="Tahoma"/>
            <family val="2"/>
          </rPr>
          <t>RATHORE:</t>
        </r>
        <r>
          <rPr>
            <sz val="8"/>
            <color indexed="81"/>
            <rFont val="Tahoma"/>
            <family val="2"/>
          </rPr>
          <t xml:space="preserve">
MAX AMT.RS. 20000</t>
        </r>
      </text>
    </comment>
    <comment ref="C70" authorId="0" shapeId="0">
      <text>
        <r>
          <rPr>
            <b/>
            <sz val="8"/>
            <color indexed="81"/>
            <rFont val="Tahoma"/>
            <family val="2"/>
          </rPr>
          <t>RATHORE:</t>
        </r>
        <r>
          <rPr>
            <sz val="8"/>
            <color indexed="81"/>
            <rFont val="Tahoma"/>
            <family val="2"/>
          </rPr>
          <t xml:space="preserve">
MAX AMT.RS. 20000</t>
        </r>
      </text>
    </comment>
    <comment ref="C71" authorId="0" shapeId="0">
      <text>
        <r>
          <rPr>
            <b/>
            <sz val="8"/>
            <color indexed="81"/>
            <rFont val="Tahoma"/>
            <family val="2"/>
          </rPr>
          <t>RATHORE:</t>
        </r>
        <r>
          <rPr>
            <sz val="8"/>
            <color indexed="81"/>
            <rFont val="Tahoma"/>
            <family val="2"/>
          </rPr>
          <t xml:space="preserve">
</t>
        </r>
      </text>
    </comment>
    <comment ref="C72" authorId="0" shapeId="0">
      <text>
        <r>
          <rPr>
            <b/>
            <sz val="8"/>
            <color indexed="81"/>
            <rFont val="Tahoma"/>
            <family val="2"/>
          </rPr>
          <t>RATHORE:</t>
        </r>
        <r>
          <rPr>
            <sz val="8"/>
            <color indexed="81"/>
            <rFont val="Tahoma"/>
            <family val="2"/>
          </rPr>
          <t xml:space="preserve">
</t>
        </r>
      </text>
    </comment>
    <comment ref="C73" authorId="0" shapeId="0">
      <text>
        <r>
          <rPr>
            <b/>
            <sz val="8"/>
            <color indexed="81"/>
            <rFont val="Tahoma"/>
            <family val="2"/>
          </rPr>
          <t>RATHORE:</t>
        </r>
        <r>
          <rPr>
            <sz val="8"/>
            <color indexed="81"/>
            <rFont val="Tahoma"/>
            <family val="2"/>
          </rPr>
          <t xml:space="preserve">
</t>
        </r>
      </text>
    </comment>
    <comment ref="C88" authorId="0" shapeId="0">
      <text>
        <r>
          <rPr>
            <b/>
            <sz val="8"/>
            <color indexed="81"/>
            <rFont val="Tahoma"/>
            <family val="2"/>
          </rPr>
          <t>RATHORE:</t>
        </r>
        <r>
          <rPr>
            <sz val="8"/>
            <color indexed="81"/>
            <rFont val="Tahoma"/>
            <family val="2"/>
          </rPr>
          <t xml:space="preserve">
</t>
        </r>
      </text>
    </comment>
    <comment ref="C91" authorId="1" shapeId="0">
      <text>
        <r>
          <rPr>
            <b/>
            <sz val="8"/>
            <color indexed="81"/>
            <rFont val="Tahoma"/>
            <family val="2"/>
          </rPr>
          <t>rathore's:</t>
        </r>
        <r>
          <rPr>
            <sz val="8"/>
            <color indexed="81"/>
            <rFont val="Tahoma"/>
            <family val="2"/>
          </rPr>
          <t xml:space="preserve">
</t>
        </r>
      </text>
    </comment>
    <comment ref="B92" authorId="0" shapeId="0">
      <text>
        <r>
          <rPr>
            <b/>
            <sz val="8"/>
            <color indexed="81"/>
            <rFont val="Tahoma"/>
            <family val="2"/>
          </rPr>
          <t>RATHORE:</t>
        </r>
        <r>
          <rPr>
            <sz val="8"/>
            <color indexed="81"/>
            <rFont val="Tahoma"/>
            <family val="2"/>
          </rPr>
          <t xml:space="preserve">
</t>
        </r>
      </text>
    </comment>
  </commentList>
</comments>
</file>

<file path=xl/comments9.xml><?xml version="1.0" encoding="utf-8"?>
<comments xmlns="http://schemas.openxmlformats.org/spreadsheetml/2006/main">
  <authors>
    <author>RATHORE</author>
    <author>rathore's</author>
  </authors>
  <commentList>
    <comment ref="C72" authorId="0" shapeId="0">
      <text>
        <r>
          <rPr>
            <b/>
            <sz val="8"/>
            <color indexed="81"/>
            <rFont val="Tahoma"/>
            <family val="2"/>
          </rPr>
          <t>RATHORE:</t>
        </r>
        <r>
          <rPr>
            <sz val="8"/>
            <color indexed="81"/>
            <rFont val="Tahoma"/>
            <family val="2"/>
          </rPr>
          <t xml:space="preserve">
MAX AMT.RS. 20000</t>
        </r>
      </text>
    </comment>
    <comment ref="C74" authorId="0" shapeId="0">
      <text>
        <r>
          <rPr>
            <b/>
            <sz val="8"/>
            <color indexed="81"/>
            <rFont val="Tahoma"/>
            <family val="2"/>
          </rPr>
          <t>RATHORE:</t>
        </r>
        <r>
          <rPr>
            <sz val="8"/>
            <color indexed="81"/>
            <rFont val="Tahoma"/>
            <family val="2"/>
          </rPr>
          <t xml:space="preserve">
MAX AMT.RS. 20000</t>
        </r>
      </text>
    </comment>
    <comment ref="C75" authorId="0" shapeId="0">
      <text>
        <r>
          <rPr>
            <b/>
            <sz val="8"/>
            <color indexed="81"/>
            <rFont val="Tahoma"/>
            <family val="2"/>
          </rPr>
          <t>RATHORE:</t>
        </r>
        <r>
          <rPr>
            <sz val="8"/>
            <color indexed="81"/>
            <rFont val="Tahoma"/>
            <family val="2"/>
          </rPr>
          <t xml:space="preserve">
</t>
        </r>
      </text>
    </comment>
    <comment ref="C76" authorId="0" shapeId="0">
      <text>
        <r>
          <rPr>
            <b/>
            <sz val="8"/>
            <color indexed="81"/>
            <rFont val="Tahoma"/>
            <family val="2"/>
          </rPr>
          <t>RATHORE:</t>
        </r>
        <r>
          <rPr>
            <sz val="8"/>
            <color indexed="81"/>
            <rFont val="Tahoma"/>
            <family val="2"/>
          </rPr>
          <t xml:space="preserve">
</t>
        </r>
      </text>
    </comment>
    <comment ref="C77" authorId="0" shapeId="0">
      <text>
        <r>
          <rPr>
            <b/>
            <sz val="8"/>
            <color indexed="81"/>
            <rFont val="Tahoma"/>
            <family val="2"/>
          </rPr>
          <t>RATHORE:</t>
        </r>
        <r>
          <rPr>
            <sz val="8"/>
            <color indexed="81"/>
            <rFont val="Tahoma"/>
            <family val="2"/>
          </rPr>
          <t xml:space="preserve">
</t>
        </r>
      </text>
    </comment>
    <comment ref="C94" authorId="0" shapeId="0">
      <text>
        <r>
          <rPr>
            <b/>
            <sz val="8"/>
            <color indexed="81"/>
            <rFont val="Tahoma"/>
            <family val="2"/>
          </rPr>
          <t>RATHORE:</t>
        </r>
        <r>
          <rPr>
            <sz val="8"/>
            <color indexed="81"/>
            <rFont val="Tahoma"/>
            <family val="2"/>
          </rPr>
          <t xml:space="preserve">
</t>
        </r>
      </text>
    </comment>
    <comment ref="C98" authorId="1" shapeId="0">
      <text>
        <r>
          <rPr>
            <b/>
            <sz val="8"/>
            <color indexed="81"/>
            <rFont val="Tahoma"/>
            <family val="2"/>
          </rPr>
          <t>rathore's:</t>
        </r>
        <r>
          <rPr>
            <sz val="8"/>
            <color indexed="81"/>
            <rFont val="Tahoma"/>
            <family val="2"/>
          </rPr>
          <t xml:space="preserve">
</t>
        </r>
      </text>
    </comment>
    <comment ref="B99" authorId="0" shapeId="0">
      <text>
        <r>
          <rPr>
            <b/>
            <sz val="8"/>
            <color indexed="81"/>
            <rFont val="Tahoma"/>
            <family val="2"/>
          </rPr>
          <t>RATHORE:</t>
        </r>
        <r>
          <rPr>
            <sz val="8"/>
            <color indexed="81"/>
            <rFont val="Tahoma"/>
            <family val="2"/>
          </rPr>
          <t xml:space="preserve">
</t>
        </r>
      </text>
    </comment>
  </commentList>
</comments>
</file>

<file path=xl/comments10.xml><?xml version="1.0" encoding="utf-8"?>
<comments xmlns="http://schemas.openxmlformats.org/spreadsheetml/2006/main">
  <authors>
    <author>RATHORE</author>
    <author>rathore's</author>
  </authors>
  <commentList>
    <comment ref="C71" authorId="0" shapeId="0">
      <text>
        <r>
          <rPr>
            <b/>
            <sz val="8"/>
            <color indexed="81"/>
            <rFont val="Tahoma"/>
            <family val="2"/>
          </rPr>
          <t>RATHORE:</t>
        </r>
        <r>
          <rPr>
            <sz val="8"/>
            <color indexed="81"/>
            <rFont val="Tahoma"/>
            <family val="2"/>
          </rPr>
          <t xml:space="preserve">
MAX AMT.RS. 20000</t>
        </r>
      </text>
    </comment>
    <comment ref="C72" authorId="0" shapeId="0">
      <text>
        <r>
          <rPr>
            <b/>
            <sz val="8"/>
            <color indexed="81"/>
            <rFont val="Tahoma"/>
            <family val="2"/>
          </rPr>
          <t>RATHORE:</t>
        </r>
        <r>
          <rPr>
            <sz val="8"/>
            <color indexed="81"/>
            <rFont val="Tahoma"/>
            <family val="2"/>
          </rPr>
          <t xml:space="preserve">
MAX AMT.RS. 20000</t>
        </r>
      </text>
    </comment>
    <comment ref="C73" authorId="0" shapeId="0">
      <text>
        <r>
          <rPr>
            <b/>
            <sz val="8"/>
            <color indexed="81"/>
            <rFont val="Tahoma"/>
            <family val="2"/>
          </rPr>
          <t>RATHORE:</t>
        </r>
        <r>
          <rPr>
            <sz val="8"/>
            <color indexed="81"/>
            <rFont val="Tahoma"/>
            <family val="2"/>
          </rPr>
          <t xml:space="preserve">
</t>
        </r>
      </text>
    </comment>
    <comment ref="C74" authorId="0" shapeId="0">
      <text>
        <r>
          <rPr>
            <b/>
            <sz val="8"/>
            <color indexed="81"/>
            <rFont val="Tahoma"/>
            <family val="2"/>
          </rPr>
          <t>RATHORE:</t>
        </r>
        <r>
          <rPr>
            <sz val="8"/>
            <color indexed="81"/>
            <rFont val="Tahoma"/>
            <family val="2"/>
          </rPr>
          <t xml:space="preserve">
</t>
        </r>
      </text>
    </comment>
    <comment ref="C75" authorId="0" shapeId="0">
      <text>
        <r>
          <rPr>
            <b/>
            <sz val="8"/>
            <color indexed="81"/>
            <rFont val="Tahoma"/>
            <family val="2"/>
          </rPr>
          <t>RATHORE:</t>
        </r>
        <r>
          <rPr>
            <sz val="8"/>
            <color indexed="81"/>
            <rFont val="Tahoma"/>
            <family val="2"/>
          </rPr>
          <t xml:space="preserve">
</t>
        </r>
      </text>
    </comment>
    <comment ref="C92" authorId="0" shapeId="0">
      <text>
        <r>
          <rPr>
            <b/>
            <sz val="8"/>
            <color indexed="81"/>
            <rFont val="Tahoma"/>
            <family val="2"/>
          </rPr>
          <t>RATHORE:</t>
        </r>
        <r>
          <rPr>
            <sz val="8"/>
            <color indexed="81"/>
            <rFont val="Tahoma"/>
            <family val="2"/>
          </rPr>
          <t xml:space="preserve">
</t>
        </r>
      </text>
    </comment>
    <comment ref="C94" authorId="1" shapeId="0">
      <text>
        <r>
          <rPr>
            <b/>
            <sz val="8"/>
            <color indexed="81"/>
            <rFont val="Tahoma"/>
            <family val="2"/>
          </rPr>
          <t>rathore's:</t>
        </r>
        <r>
          <rPr>
            <sz val="8"/>
            <color indexed="81"/>
            <rFont val="Tahoma"/>
            <family val="2"/>
          </rPr>
          <t xml:space="preserve">
</t>
        </r>
      </text>
    </comment>
    <comment ref="B95" authorId="0" shapeId="0">
      <text>
        <r>
          <rPr>
            <b/>
            <sz val="8"/>
            <color indexed="81"/>
            <rFont val="Tahoma"/>
            <family val="2"/>
          </rPr>
          <t>RATHORE:</t>
        </r>
        <r>
          <rPr>
            <sz val="8"/>
            <color indexed="81"/>
            <rFont val="Tahoma"/>
            <family val="2"/>
          </rPr>
          <t xml:space="preserve">
</t>
        </r>
      </text>
    </comment>
  </commentList>
</comments>
</file>

<file path=xl/comments11.xml><?xml version="1.0" encoding="utf-8"?>
<comments xmlns="http://schemas.openxmlformats.org/spreadsheetml/2006/main">
  <authors>
    <author>RATHORE</author>
    <author>rathore's</author>
  </authors>
  <commentList>
    <comment ref="C63" authorId="0" shapeId="0">
      <text>
        <r>
          <rPr>
            <b/>
            <sz val="8"/>
            <color indexed="81"/>
            <rFont val="Tahoma"/>
            <family val="2"/>
          </rPr>
          <t>RATHORE:</t>
        </r>
        <r>
          <rPr>
            <sz val="8"/>
            <color indexed="81"/>
            <rFont val="Tahoma"/>
            <family val="2"/>
          </rPr>
          <t xml:space="preserve">
MAX AMT.RS. 20000</t>
        </r>
      </text>
    </comment>
    <comment ref="C64" authorId="0" shapeId="0">
      <text>
        <r>
          <rPr>
            <b/>
            <sz val="8"/>
            <color indexed="81"/>
            <rFont val="Tahoma"/>
            <family val="2"/>
          </rPr>
          <t>RATHORE:</t>
        </r>
        <r>
          <rPr>
            <sz val="8"/>
            <color indexed="81"/>
            <rFont val="Tahoma"/>
            <family val="2"/>
          </rPr>
          <t xml:space="preserve">
MAX AMT.RS. 20000</t>
        </r>
      </text>
    </comment>
    <comment ref="C66" authorId="0" shapeId="0">
      <text>
        <r>
          <rPr>
            <b/>
            <sz val="8"/>
            <color indexed="81"/>
            <rFont val="Tahoma"/>
            <family val="2"/>
          </rPr>
          <t>RATHORE:</t>
        </r>
        <r>
          <rPr>
            <sz val="8"/>
            <color indexed="81"/>
            <rFont val="Tahoma"/>
            <family val="2"/>
          </rPr>
          <t xml:space="preserve">
</t>
        </r>
      </text>
    </comment>
    <comment ref="C67" authorId="0" shapeId="0">
      <text>
        <r>
          <rPr>
            <b/>
            <sz val="8"/>
            <color indexed="81"/>
            <rFont val="Tahoma"/>
            <family val="2"/>
          </rPr>
          <t>RATHORE:</t>
        </r>
        <r>
          <rPr>
            <sz val="8"/>
            <color indexed="81"/>
            <rFont val="Tahoma"/>
            <family val="2"/>
          </rPr>
          <t xml:space="preserve">
</t>
        </r>
      </text>
    </comment>
    <comment ref="C68" authorId="0" shapeId="0">
      <text>
        <r>
          <rPr>
            <b/>
            <sz val="8"/>
            <color indexed="81"/>
            <rFont val="Tahoma"/>
            <family val="2"/>
          </rPr>
          <t>RATHORE:</t>
        </r>
        <r>
          <rPr>
            <sz val="8"/>
            <color indexed="81"/>
            <rFont val="Tahoma"/>
            <family val="2"/>
          </rPr>
          <t xml:space="preserve">
</t>
        </r>
      </text>
    </comment>
    <comment ref="C85" authorId="0" shapeId="0">
      <text>
        <r>
          <rPr>
            <b/>
            <sz val="8"/>
            <color indexed="81"/>
            <rFont val="Tahoma"/>
            <family val="2"/>
          </rPr>
          <t>RATHORE:</t>
        </r>
        <r>
          <rPr>
            <sz val="8"/>
            <color indexed="81"/>
            <rFont val="Tahoma"/>
            <family val="2"/>
          </rPr>
          <t xml:space="preserve">
</t>
        </r>
      </text>
    </comment>
    <comment ref="C87" authorId="1" shapeId="0">
      <text>
        <r>
          <rPr>
            <b/>
            <sz val="8"/>
            <color indexed="81"/>
            <rFont val="Tahoma"/>
            <family val="2"/>
          </rPr>
          <t>rathore's:</t>
        </r>
        <r>
          <rPr>
            <sz val="8"/>
            <color indexed="81"/>
            <rFont val="Tahoma"/>
            <family val="2"/>
          </rPr>
          <t xml:space="preserve">
</t>
        </r>
      </text>
    </comment>
    <comment ref="B88" authorId="0" shapeId="0">
      <text>
        <r>
          <rPr>
            <b/>
            <sz val="8"/>
            <color indexed="81"/>
            <rFont val="Tahoma"/>
            <family val="2"/>
          </rPr>
          <t>RATHORE:</t>
        </r>
        <r>
          <rPr>
            <sz val="8"/>
            <color indexed="81"/>
            <rFont val="Tahoma"/>
            <family val="2"/>
          </rPr>
          <t xml:space="preserve">
</t>
        </r>
      </text>
    </comment>
  </commentList>
</comments>
</file>

<file path=xl/comments12.xml><?xml version="1.0" encoding="utf-8"?>
<comments xmlns="http://schemas.openxmlformats.org/spreadsheetml/2006/main">
  <authors>
    <author>RATHORE</author>
    <author>rathore's</author>
  </authors>
  <commentList>
    <comment ref="C36" authorId="0" shapeId="0">
      <text>
        <r>
          <rPr>
            <b/>
            <sz val="8"/>
            <color indexed="81"/>
            <rFont val="Tahoma"/>
            <family val="2"/>
          </rPr>
          <t>RATHORE:</t>
        </r>
        <r>
          <rPr>
            <sz val="8"/>
            <color indexed="81"/>
            <rFont val="Tahoma"/>
            <family val="2"/>
          </rPr>
          <t xml:space="preserve">
</t>
        </r>
      </text>
    </comment>
    <comment ref="C37" authorId="0" shapeId="0">
      <text>
        <r>
          <rPr>
            <b/>
            <sz val="8"/>
            <color indexed="81"/>
            <rFont val="Tahoma"/>
            <family val="2"/>
          </rPr>
          <t>RATHORE:</t>
        </r>
        <r>
          <rPr>
            <sz val="8"/>
            <color indexed="81"/>
            <rFont val="Tahoma"/>
            <family val="2"/>
          </rPr>
          <t xml:space="preserve">
</t>
        </r>
      </text>
    </comment>
    <comment ref="C38" authorId="0" shapeId="0">
      <text>
        <r>
          <rPr>
            <b/>
            <sz val="8"/>
            <color indexed="81"/>
            <rFont val="Tahoma"/>
            <family val="2"/>
          </rPr>
          <t>RATHORE:</t>
        </r>
        <r>
          <rPr>
            <sz val="8"/>
            <color indexed="81"/>
            <rFont val="Tahoma"/>
            <family val="2"/>
          </rPr>
          <t xml:space="preserve">
</t>
        </r>
      </text>
    </comment>
    <comment ref="C41" authorId="0" shapeId="0">
      <text>
        <r>
          <rPr>
            <b/>
            <sz val="8"/>
            <color indexed="81"/>
            <rFont val="Tahoma"/>
            <family val="2"/>
          </rPr>
          <t>RATHORE:</t>
        </r>
        <r>
          <rPr>
            <sz val="8"/>
            <color indexed="81"/>
            <rFont val="Tahoma"/>
            <family val="2"/>
          </rPr>
          <t xml:space="preserve">
</t>
        </r>
      </text>
    </comment>
    <comment ref="C50" authorId="0" shapeId="0">
      <text>
        <r>
          <rPr>
            <b/>
            <sz val="8"/>
            <color indexed="81"/>
            <rFont val="Tahoma"/>
            <family val="2"/>
          </rPr>
          <t>RATHORE:</t>
        </r>
        <r>
          <rPr>
            <sz val="8"/>
            <color indexed="81"/>
            <rFont val="Tahoma"/>
            <family val="2"/>
          </rPr>
          <t xml:space="preserve">
</t>
        </r>
      </text>
    </comment>
    <comment ref="C52" authorId="1" shapeId="0">
      <text>
        <r>
          <rPr>
            <b/>
            <sz val="8"/>
            <color indexed="81"/>
            <rFont val="Tahoma"/>
            <family val="2"/>
          </rPr>
          <t>rathore's:</t>
        </r>
        <r>
          <rPr>
            <sz val="8"/>
            <color indexed="81"/>
            <rFont val="Tahoma"/>
            <family val="2"/>
          </rPr>
          <t xml:space="preserve">
</t>
        </r>
      </text>
    </comment>
    <comment ref="C53" authorId="1" shapeId="0">
      <text>
        <r>
          <rPr>
            <b/>
            <sz val="8"/>
            <color indexed="81"/>
            <rFont val="Tahoma"/>
            <family val="2"/>
          </rPr>
          <t>rathore's:</t>
        </r>
        <r>
          <rPr>
            <sz val="8"/>
            <color indexed="81"/>
            <rFont val="Tahoma"/>
            <family val="2"/>
          </rPr>
          <t xml:space="preserve">
</t>
        </r>
      </text>
    </comment>
    <comment ref="B54" authorId="0" shapeId="0">
      <text>
        <r>
          <rPr>
            <b/>
            <sz val="8"/>
            <color indexed="81"/>
            <rFont val="Tahoma"/>
            <family val="2"/>
          </rPr>
          <t>RATHORE:</t>
        </r>
        <r>
          <rPr>
            <sz val="8"/>
            <color indexed="81"/>
            <rFont val="Tahoma"/>
            <family val="2"/>
          </rPr>
          <t xml:space="preserve">
</t>
        </r>
      </text>
    </comment>
  </commentList>
</comments>
</file>

<file path=xl/comments13.xml><?xml version="1.0" encoding="utf-8"?>
<comments xmlns="http://schemas.openxmlformats.org/spreadsheetml/2006/main">
  <authors>
    <author>RATHORE</author>
    <author>rathore's</author>
  </authors>
  <commentList>
    <comment ref="C47" authorId="0" shapeId="0">
      <text>
        <r>
          <rPr>
            <b/>
            <sz val="8"/>
            <color indexed="81"/>
            <rFont val="Tahoma"/>
            <family val="2"/>
          </rPr>
          <t>RATHORE:</t>
        </r>
        <r>
          <rPr>
            <sz val="8"/>
            <color indexed="81"/>
            <rFont val="Tahoma"/>
            <family val="2"/>
          </rPr>
          <t xml:space="preserve">
</t>
        </r>
      </text>
    </comment>
    <comment ref="C48" authorId="0" shapeId="0">
      <text>
        <r>
          <rPr>
            <b/>
            <sz val="8"/>
            <color indexed="81"/>
            <rFont val="Tahoma"/>
            <family val="2"/>
          </rPr>
          <t>RATHORE:</t>
        </r>
        <r>
          <rPr>
            <sz val="8"/>
            <color indexed="81"/>
            <rFont val="Tahoma"/>
            <family val="2"/>
          </rPr>
          <t xml:space="preserve">
</t>
        </r>
      </text>
    </comment>
    <comment ref="C52" authorId="0" shapeId="0">
      <text>
        <r>
          <rPr>
            <b/>
            <sz val="8"/>
            <color indexed="81"/>
            <rFont val="Tahoma"/>
            <family val="2"/>
          </rPr>
          <t>RATHORE:</t>
        </r>
        <r>
          <rPr>
            <sz val="8"/>
            <color indexed="81"/>
            <rFont val="Tahoma"/>
            <family val="2"/>
          </rPr>
          <t xml:space="preserve">
</t>
        </r>
      </text>
    </comment>
    <comment ref="C53" authorId="0" shapeId="0">
      <text>
        <r>
          <rPr>
            <b/>
            <sz val="8"/>
            <color indexed="81"/>
            <rFont val="Tahoma"/>
            <family val="2"/>
          </rPr>
          <t>RATHORE:</t>
        </r>
        <r>
          <rPr>
            <sz val="8"/>
            <color indexed="81"/>
            <rFont val="Tahoma"/>
            <family val="2"/>
          </rPr>
          <t xml:space="preserve">
</t>
        </r>
      </text>
    </comment>
    <comment ref="C56" authorId="0" shapeId="0">
      <text>
        <r>
          <rPr>
            <b/>
            <sz val="8"/>
            <color indexed="81"/>
            <rFont val="Tahoma"/>
            <family val="2"/>
          </rPr>
          <t>RATHORE:</t>
        </r>
        <r>
          <rPr>
            <sz val="8"/>
            <color indexed="81"/>
            <rFont val="Tahoma"/>
            <family val="2"/>
          </rPr>
          <t xml:space="preserve">
</t>
        </r>
      </text>
    </comment>
    <comment ref="C66" authorId="0" shapeId="0">
      <text>
        <r>
          <rPr>
            <b/>
            <sz val="8"/>
            <color indexed="81"/>
            <rFont val="Tahoma"/>
            <family val="2"/>
          </rPr>
          <t>RATHORE:</t>
        </r>
        <r>
          <rPr>
            <sz val="8"/>
            <color indexed="81"/>
            <rFont val="Tahoma"/>
            <family val="2"/>
          </rPr>
          <t xml:space="preserve">
</t>
        </r>
      </text>
    </comment>
    <comment ref="C68" authorId="0" shapeId="0">
      <text>
        <r>
          <rPr>
            <b/>
            <sz val="8"/>
            <color indexed="81"/>
            <rFont val="Tahoma"/>
            <family val="2"/>
          </rPr>
          <t>RATHORE:</t>
        </r>
        <r>
          <rPr>
            <sz val="8"/>
            <color indexed="81"/>
            <rFont val="Tahoma"/>
            <family val="2"/>
          </rPr>
          <t xml:space="preserve">
</t>
        </r>
      </text>
    </comment>
    <comment ref="C69" authorId="1" shapeId="0">
      <text>
        <r>
          <rPr>
            <b/>
            <sz val="8"/>
            <color indexed="81"/>
            <rFont val="Tahoma"/>
            <family val="2"/>
          </rPr>
          <t>rathore's:</t>
        </r>
        <r>
          <rPr>
            <sz val="8"/>
            <color indexed="81"/>
            <rFont val="Tahoma"/>
            <family val="2"/>
          </rPr>
          <t xml:space="preserve">
</t>
        </r>
      </text>
    </comment>
    <comment ref="B70" authorId="0" shapeId="0">
      <text>
        <r>
          <rPr>
            <b/>
            <sz val="8"/>
            <color indexed="81"/>
            <rFont val="Tahoma"/>
            <family val="2"/>
          </rPr>
          <t>RATHORE:</t>
        </r>
        <r>
          <rPr>
            <sz val="8"/>
            <color indexed="81"/>
            <rFont val="Tahoma"/>
            <family val="2"/>
          </rPr>
          <t xml:space="preserve">
</t>
        </r>
      </text>
    </comment>
  </commentList>
</comments>
</file>

<file path=xl/comments14.xml><?xml version="1.0" encoding="utf-8"?>
<comments xmlns="http://schemas.openxmlformats.org/spreadsheetml/2006/main">
  <authors>
    <author>RATHORE</author>
    <author>rathore's</author>
  </authors>
  <commentList>
    <comment ref="C46" authorId="0" shapeId="0">
      <text>
        <r>
          <rPr>
            <b/>
            <sz val="8"/>
            <color indexed="81"/>
            <rFont val="Tahoma"/>
            <family val="2"/>
          </rPr>
          <t>RATHORE:</t>
        </r>
        <r>
          <rPr>
            <sz val="8"/>
            <color indexed="81"/>
            <rFont val="Tahoma"/>
            <family val="2"/>
          </rPr>
          <t xml:space="preserve">
</t>
        </r>
      </text>
    </comment>
    <comment ref="C47" authorId="0" shapeId="0">
      <text>
        <r>
          <rPr>
            <b/>
            <sz val="8"/>
            <color indexed="81"/>
            <rFont val="Tahoma"/>
            <family val="2"/>
          </rPr>
          <t>RATHORE:</t>
        </r>
        <r>
          <rPr>
            <sz val="8"/>
            <color indexed="81"/>
            <rFont val="Tahoma"/>
            <family val="2"/>
          </rPr>
          <t xml:space="preserve">
</t>
        </r>
      </text>
    </comment>
    <comment ref="C51" authorId="0" shapeId="0">
      <text>
        <r>
          <rPr>
            <b/>
            <sz val="8"/>
            <color indexed="81"/>
            <rFont val="Tahoma"/>
            <family val="2"/>
          </rPr>
          <t>RATHORE:</t>
        </r>
        <r>
          <rPr>
            <sz val="8"/>
            <color indexed="81"/>
            <rFont val="Tahoma"/>
            <family val="2"/>
          </rPr>
          <t xml:space="preserve">
</t>
        </r>
      </text>
    </comment>
    <comment ref="C52" authorId="0" shapeId="0">
      <text>
        <r>
          <rPr>
            <b/>
            <sz val="8"/>
            <color indexed="81"/>
            <rFont val="Tahoma"/>
            <family val="2"/>
          </rPr>
          <t>RATHORE:</t>
        </r>
        <r>
          <rPr>
            <sz val="8"/>
            <color indexed="81"/>
            <rFont val="Tahoma"/>
            <family val="2"/>
          </rPr>
          <t xml:space="preserve">
</t>
        </r>
      </text>
    </comment>
    <comment ref="C55" authorId="0" shapeId="0">
      <text>
        <r>
          <rPr>
            <b/>
            <sz val="8"/>
            <color indexed="81"/>
            <rFont val="Tahoma"/>
            <family val="2"/>
          </rPr>
          <t>RATHORE:</t>
        </r>
        <r>
          <rPr>
            <sz val="8"/>
            <color indexed="81"/>
            <rFont val="Tahoma"/>
            <family val="2"/>
          </rPr>
          <t xml:space="preserve">
</t>
        </r>
      </text>
    </comment>
    <comment ref="C64" authorId="0" shapeId="0">
      <text>
        <r>
          <rPr>
            <b/>
            <sz val="8"/>
            <color indexed="81"/>
            <rFont val="Tahoma"/>
            <family val="2"/>
          </rPr>
          <t>RATHORE:</t>
        </r>
        <r>
          <rPr>
            <sz val="8"/>
            <color indexed="81"/>
            <rFont val="Tahoma"/>
            <family val="2"/>
          </rPr>
          <t xml:space="preserve">
</t>
        </r>
      </text>
    </comment>
    <comment ref="C66" authorId="0" shapeId="0">
      <text>
        <r>
          <rPr>
            <b/>
            <sz val="8"/>
            <color indexed="81"/>
            <rFont val="Tahoma"/>
            <family val="2"/>
          </rPr>
          <t>RATHORE:</t>
        </r>
        <r>
          <rPr>
            <sz val="8"/>
            <color indexed="81"/>
            <rFont val="Tahoma"/>
            <family val="2"/>
          </rPr>
          <t xml:space="preserve">
</t>
        </r>
      </text>
    </comment>
    <comment ref="C67" authorId="1" shapeId="0">
      <text>
        <r>
          <rPr>
            <b/>
            <sz val="8"/>
            <color indexed="81"/>
            <rFont val="Tahoma"/>
            <family val="2"/>
          </rPr>
          <t>rathore's:</t>
        </r>
        <r>
          <rPr>
            <sz val="8"/>
            <color indexed="81"/>
            <rFont val="Tahoma"/>
            <family val="2"/>
          </rPr>
          <t xml:space="preserve">
</t>
        </r>
      </text>
    </comment>
    <comment ref="B68" authorId="0" shapeId="0">
      <text>
        <r>
          <rPr>
            <b/>
            <sz val="8"/>
            <color indexed="81"/>
            <rFont val="Tahoma"/>
            <family val="2"/>
          </rPr>
          <t>RATHORE:</t>
        </r>
        <r>
          <rPr>
            <sz val="8"/>
            <color indexed="81"/>
            <rFont val="Tahoma"/>
            <family val="2"/>
          </rPr>
          <t xml:space="preserve">
</t>
        </r>
      </text>
    </comment>
  </commentList>
</comments>
</file>

<file path=xl/comments15.xml><?xml version="1.0" encoding="utf-8"?>
<comments xmlns="http://schemas.openxmlformats.org/spreadsheetml/2006/main">
  <authors>
    <author>RATHORE</author>
  </authors>
  <commentList>
    <comment ref="C30" authorId="0" shapeId="0">
      <text>
        <r>
          <rPr>
            <b/>
            <sz val="8"/>
            <color indexed="81"/>
            <rFont val="Tahoma"/>
            <family val="2"/>
          </rPr>
          <t>RATHORE:</t>
        </r>
        <r>
          <rPr>
            <sz val="8"/>
            <color indexed="81"/>
            <rFont val="Tahoma"/>
            <family val="2"/>
          </rPr>
          <t xml:space="preserve">
</t>
        </r>
      </text>
    </comment>
  </commentList>
</comments>
</file>

<file path=xl/comments16.xml><?xml version="1.0" encoding="utf-8"?>
<comments xmlns="http://schemas.openxmlformats.org/spreadsheetml/2006/main">
  <authors>
    <author>RATHORE</author>
  </authors>
  <commentList>
    <comment ref="C28" authorId="0" shapeId="0">
      <text>
        <r>
          <rPr>
            <b/>
            <sz val="8"/>
            <color indexed="81"/>
            <rFont val="Tahoma"/>
            <family val="2"/>
          </rPr>
          <t>RATHORE:</t>
        </r>
        <r>
          <rPr>
            <sz val="8"/>
            <color indexed="81"/>
            <rFont val="Tahoma"/>
            <family val="2"/>
          </rPr>
          <t xml:space="preserve">
</t>
        </r>
      </text>
    </comment>
  </commentList>
</comments>
</file>

<file path=xl/comments17.xml><?xml version="1.0" encoding="utf-8"?>
<comments xmlns="http://schemas.openxmlformats.org/spreadsheetml/2006/main">
  <authors>
    <author>RATHORE</author>
  </authors>
  <commentList>
    <comment ref="C30" authorId="0" shapeId="0">
      <text>
        <r>
          <rPr>
            <b/>
            <sz val="8"/>
            <color indexed="81"/>
            <rFont val="Tahoma"/>
            <family val="2"/>
          </rPr>
          <t>RATHORE:</t>
        </r>
        <r>
          <rPr>
            <sz val="8"/>
            <color indexed="81"/>
            <rFont val="Tahoma"/>
            <family val="2"/>
          </rPr>
          <t xml:space="preserve">
</t>
        </r>
      </text>
    </comment>
  </commentList>
</comments>
</file>

<file path=xl/comments18.xml><?xml version="1.0" encoding="utf-8"?>
<comments xmlns="http://schemas.openxmlformats.org/spreadsheetml/2006/main">
  <authors>
    <author>RATHORE</author>
  </authors>
  <commentList>
    <comment ref="C30" authorId="0" shapeId="0">
      <text>
        <r>
          <rPr>
            <b/>
            <sz val="8"/>
            <color indexed="81"/>
            <rFont val="Tahoma"/>
            <family val="2"/>
          </rPr>
          <t>RATHORE:</t>
        </r>
        <r>
          <rPr>
            <sz val="8"/>
            <color indexed="81"/>
            <rFont val="Tahoma"/>
            <family val="2"/>
          </rPr>
          <t xml:space="preserve">
</t>
        </r>
      </text>
    </comment>
  </commentList>
</comments>
</file>

<file path=xl/comments19.xml><?xml version="1.0" encoding="utf-8"?>
<comments xmlns="http://schemas.openxmlformats.org/spreadsheetml/2006/main">
  <authors>
    <author>RATHORE</author>
  </authors>
  <commentList>
    <comment ref="C30" authorId="0" shapeId="0">
      <text>
        <r>
          <rPr>
            <b/>
            <sz val="8"/>
            <color indexed="81"/>
            <rFont val="Tahoma"/>
            <family val="2"/>
          </rPr>
          <t>RATHORE:</t>
        </r>
        <r>
          <rPr>
            <sz val="8"/>
            <color indexed="81"/>
            <rFont val="Tahoma"/>
            <family val="2"/>
          </rPr>
          <t xml:space="preserve">
</t>
        </r>
      </text>
    </comment>
  </commentList>
</comments>
</file>

<file path=xl/comments20.xml><?xml version="1.0" encoding="utf-8"?>
<comments xmlns="http://schemas.openxmlformats.org/spreadsheetml/2006/main">
  <authors>
    <author>RATHORE</author>
    <author>rathore's</author>
  </authors>
  <commentList>
    <comment ref="C32" authorId="0" shapeId="0">
      <text>
        <r>
          <rPr>
            <b/>
            <sz val="8"/>
            <color indexed="81"/>
            <rFont val="Tahoma"/>
            <family val="2"/>
          </rPr>
          <t>RATHORE:</t>
        </r>
        <r>
          <rPr>
            <sz val="8"/>
            <color indexed="81"/>
            <rFont val="Tahoma"/>
            <family val="2"/>
          </rPr>
          <t xml:space="preserve">
</t>
        </r>
      </text>
    </comment>
    <comment ref="C33" authorId="0" shapeId="0">
      <text>
        <r>
          <rPr>
            <b/>
            <sz val="8"/>
            <color indexed="81"/>
            <rFont val="Tahoma"/>
            <family val="2"/>
          </rPr>
          <t>RATHORE:</t>
        </r>
        <r>
          <rPr>
            <sz val="8"/>
            <color indexed="81"/>
            <rFont val="Tahoma"/>
            <family val="2"/>
          </rPr>
          <t xml:space="preserve">
</t>
        </r>
      </text>
    </comment>
    <comment ref="C34" authorId="0" shapeId="0">
      <text>
        <r>
          <rPr>
            <b/>
            <sz val="8"/>
            <color indexed="81"/>
            <rFont val="Tahoma"/>
            <family val="2"/>
          </rPr>
          <t>RATHORE:</t>
        </r>
        <r>
          <rPr>
            <sz val="8"/>
            <color indexed="81"/>
            <rFont val="Tahoma"/>
            <family val="2"/>
          </rPr>
          <t xml:space="preserve">
</t>
        </r>
      </text>
    </comment>
    <comment ref="C43" authorId="0" shapeId="0">
      <text>
        <r>
          <rPr>
            <b/>
            <sz val="8"/>
            <color indexed="81"/>
            <rFont val="Tahoma"/>
            <family val="2"/>
          </rPr>
          <t>RATHORE:</t>
        </r>
        <r>
          <rPr>
            <sz val="8"/>
            <color indexed="81"/>
            <rFont val="Tahoma"/>
            <family val="2"/>
          </rPr>
          <t xml:space="preserve">
</t>
        </r>
      </text>
    </comment>
    <comment ref="C45" authorId="1" shapeId="0">
      <text>
        <r>
          <rPr>
            <b/>
            <sz val="8"/>
            <color indexed="81"/>
            <rFont val="Tahoma"/>
            <family val="2"/>
          </rPr>
          <t>rathore's:</t>
        </r>
        <r>
          <rPr>
            <sz val="8"/>
            <color indexed="81"/>
            <rFont val="Tahoma"/>
            <family val="2"/>
          </rPr>
          <t xml:space="preserve">
</t>
        </r>
      </text>
    </comment>
    <comment ref="C46" authorId="1" shapeId="0">
      <text>
        <r>
          <rPr>
            <b/>
            <sz val="8"/>
            <color indexed="81"/>
            <rFont val="Tahoma"/>
            <family val="2"/>
          </rPr>
          <t>rathore's:</t>
        </r>
        <r>
          <rPr>
            <sz val="8"/>
            <color indexed="81"/>
            <rFont val="Tahoma"/>
            <family val="2"/>
          </rPr>
          <t xml:space="preserve">
</t>
        </r>
      </text>
    </comment>
    <comment ref="B47" authorId="0" shapeId="0">
      <text>
        <r>
          <rPr>
            <b/>
            <sz val="8"/>
            <color indexed="81"/>
            <rFont val="Tahoma"/>
            <family val="2"/>
          </rPr>
          <t>RATHORE:</t>
        </r>
        <r>
          <rPr>
            <sz val="8"/>
            <color indexed="81"/>
            <rFont val="Tahoma"/>
            <family val="2"/>
          </rPr>
          <t xml:space="preserve">
</t>
        </r>
      </text>
    </comment>
  </commentList>
</comments>
</file>

<file path=xl/comments21.xml><?xml version="1.0" encoding="utf-8"?>
<comments xmlns="http://schemas.openxmlformats.org/spreadsheetml/2006/main">
  <authors>
    <author>RATHORE</author>
    <author>rathore's</author>
  </authors>
  <commentList>
    <comment ref="C37" authorId="0" shapeId="0">
      <text>
        <r>
          <rPr>
            <b/>
            <sz val="8"/>
            <color indexed="81"/>
            <rFont val="Tahoma"/>
            <family val="2"/>
          </rPr>
          <t>RATHORE:</t>
        </r>
        <r>
          <rPr>
            <sz val="8"/>
            <color indexed="81"/>
            <rFont val="Tahoma"/>
            <family val="2"/>
          </rPr>
          <t xml:space="preserve">
</t>
        </r>
      </text>
    </comment>
    <comment ref="C41" authorId="0" shapeId="0">
      <text>
        <r>
          <rPr>
            <b/>
            <sz val="8"/>
            <color indexed="81"/>
            <rFont val="Tahoma"/>
            <family val="2"/>
          </rPr>
          <t>RATHORE:</t>
        </r>
        <r>
          <rPr>
            <sz val="8"/>
            <color indexed="81"/>
            <rFont val="Tahoma"/>
            <family val="2"/>
          </rPr>
          <t xml:space="preserve">
</t>
        </r>
      </text>
    </comment>
    <comment ref="C52" authorId="0" shapeId="0">
      <text>
        <r>
          <rPr>
            <b/>
            <sz val="8"/>
            <color indexed="81"/>
            <rFont val="Tahoma"/>
            <family val="2"/>
          </rPr>
          <t>RATHORE:</t>
        </r>
        <r>
          <rPr>
            <sz val="8"/>
            <color indexed="81"/>
            <rFont val="Tahoma"/>
            <family val="2"/>
          </rPr>
          <t xml:space="preserve">
</t>
        </r>
      </text>
    </comment>
    <comment ref="C53" authorId="0" shapeId="0">
      <text>
        <r>
          <rPr>
            <b/>
            <sz val="8"/>
            <color indexed="81"/>
            <rFont val="Tahoma"/>
            <family val="2"/>
          </rPr>
          <t>RATHORE:</t>
        </r>
        <r>
          <rPr>
            <sz val="8"/>
            <color indexed="81"/>
            <rFont val="Tahoma"/>
            <family val="2"/>
          </rPr>
          <t xml:space="preserve">
</t>
        </r>
      </text>
    </comment>
    <comment ref="C54" authorId="1" shapeId="0">
      <text>
        <r>
          <rPr>
            <b/>
            <sz val="8"/>
            <color indexed="81"/>
            <rFont val="Tahoma"/>
            <family val="2"/>
          </rPr>
          <t>rathore's:</t>
        </r>
        <r>
          <rPr>
            <sz val="8"/>
            <color indexed="81"/>
            <rFont val="Tahoma"/>
            <family val="2"/>
          </rPr>
          <t xml:space="preserve">
</t>
        </r>
      </text>
    </comment>
    <comment ref="B55" authorId="0" shapeId="0">
      <text>
        <r>
          <rPr>
            <b/>
            <sz val="8"/>
            <color indexed="81"/>
            <rFont val="Tahoma"/>
            <family val="2"/>
          </rPr>
          <t>RATHORE:</t>
        </r>
        <r>
          <rPr>
            <sz val="8"/>
            <color indexed="81"/>
            <rFont val="Tahoma"/>
            <family val="2"/>
          </rPr>
          <t xml:space="preserve">
</t>
        </r>
      </text>
    </comment>
  </commentList>
</comments>
</file>

<file path=xl/comments22.xml><?xml version="1.0" encoding="utf-8"?>
<comments xmlns="http://schemas.openxmlformats.org/spreadsheetml/2006/main">
  <authors>
    <author>RATHORE</author>
    <author>rathore</author>
  </authors>
  <commentList>
    <comment ref="B36" authorId="0" shapeId="0">
      <text>
        <r>
          <rPr>
            <b/>
            <sz val="8"/>
            <color indexed="81"/>
            <rFont val="Tahoma"/>
            <family val="2"/>
          </rPr>
          <t>RATHORE:</t>
        </r>
        <r>
          <rPr>
            <sz val="8"/>
            <color indexed="81"/>
            <rFont val="Tahoma"/>
            <family val="2"/>
          </rPr>
          <t xml:space="preserve">
</t>
        </r>
      </text>
    </comment>
    <comment ref="B37" authorId="0" shapeId="0">
      <text>
        <r>
          <rPr>
            <b/>
            <sz val="8"/>
            <color indexed="81"/>
            <rFont val="Tahoma"/>
            <family val="2"/>
          </rPr>
          <t>RATHORE:</t>
        </r>
        <r>
          <rPr>
            <sz val="8"/>
            <color indexed="81"/>
            <rFont val="Tahoma"/>
            <family val="2"/>
          </rPr>
          <t xml:space="preserve">
</t>
        </r>
      </text>
    </comment>
    <comment ref="B38" authorId="1" shapeId="0">
      <text>
        <r>
          <rPr>
            <b/>
            <sz val="8"/>
            <color indexed="81"/>
            <rFont val="Tahoma"/>
            <family val="2"/>
          </rPr>
          <t>rathore:</t>
        </r>
        <r>
          <rPr>
            <sz val="8"/>
            <color indexed="81"/>
            <rFont val="Tahoma"/>
            <family val="2"/>
          </rPr>
          <t xml:space="preserve">
</t>
        </r>
      </text>
    </comment>
    <comment ref="B58" authorId="0" shapeId="0">
      <text>
        <r>
          <rPr>
            <b/>
            <sz val="8"/>
            <color indexed="81"/>
            <rFont val="Tahoma"/>
            <family val="2"/>
          </rPr>
          <t>RATHORE:</t>
        </r>
        <r>
          <rPr>
            <sz val="8"/>
            <color indexed="81"/>
            <rFont val="Tahoma"/>
            <family val="2"/>
          </rPr>
          <t xml:space="preserve">
</t>
        </r>
      </text>
    </comment>
  </commentList>
</comments>
</file>

<file path=xl/sharedStrings.xml><?xml version="1.0" encoding="utf-8"?>
<sst xmlns="http://schemas.openxmlformats.org/spreadsheetml/2006/main" count="3869" uniqueCount="1824">
  <si>
    <t>Total current assets (iE + aii + iiiC + aiv)</t>
  </si>
  <si>
    <t>av</t>
  </si>
  <si>
    <t>Loans and advances</t>
  </si>
  <si>
    <t>Advances recoverable in cash or in kind or for value to be received</t>
  </si>
  <si>
    <t>Deposits</t>
  </si>
  <si>
    <t>Balance with Revenue Authorities</t>
  </si>
  <si>
    <t>Total (bi + bii + biii )</t>
  </si>
  <si>
    <t>Current liabilities and provisions</t>
  </si>
  <si>
    <t>Current liabilities</t>
  </si>
  <si>
    <t>Sundry Creditors</t>
  </si>
  <si>
    <t>Liability for Leased Assets</t>
  </si>
  <si>
    <t>Interest Accrued on above</t>
  </si>
  <si>
    <t>Interest accrued but not due on loans</t>
  </si>
  <si>
    <t>Provisions</t>
  </si>
  <si>
    <t>Provision for Income Tax</t>
  </si>
  <si>
    <t>Provision for Wealth Tax</t>
  </si>
  <si>
    <t>Provision for Leave encashment/Superannuation/Gratuity</t>
  </si>
  <si>
    <t>Other Provisions</t>
  </si>
  <si>
    <t>iiD</t>
  </si>
  <si>
    <t>Total (iiA + iiB + iiC + iiD )</t>
  </si>
  <si>
    <t>iiE</t>
  </si>
  <si>
    <t>Total (iE + iiE)</t>
  </si>
  <si>
    <t>diii</t>
  </si>
  <si>
    <t>Net current assets (3c - diii)</t>
  </si>
  <si>
    <t>Miscellaneous expenditure not written off or adjusted</t>
  </si>
  <si>
    <t>Deferred tax asset</t>
  </si>
  <si>
    <t>Profit and loss account</t>
  </si>
  <si>
    <t>Total (4a + 4b + 4c)</t>
  </si>
  <si>
    <t>4d</t>
  </si>
  <si>
    <t>Total, application of funds (le + 2c + 3e +4d)</t>
  </si>
  <si>
    <t>NO ACCOUNT CASE</t>
  </si>
  <si>
    <t>Amount of total sundry debtors</t>
  </si>
  <si>
    <t>6a</t>
  </si>
  <si>
    <t>Amount of total sundry creditors</t>
  </si>
  <si>
    <t>6b</t>
  </si>
  <si>
    <t>Amount of total stock-in-trade</t>
  </si>
  <si>
    <t>6c</t>
  </si>
  <si>
    <t>6d</t>
  </si>
  <si>
    <t>Profit and Loss Account for the previous year 2006-07 of the proprietary business</t>
  </si>
  <si>
    <t>Duties, taxes and cess, received or receivable, in respect of goods and services sold or supplied</t>
  </si>
  <si>
    <t>Union Excise duties</t>
  </si>
  <si>
    <t>Service tax</t>
  </si>
  <si>
    <t>VAT/ Sales tax</t>
  </si>
  <si>
    <t>Any other duty, tax and cess</t>
  </si>
  <si>
    <t>Total of duties, taxes and cess, received or receivable(2a+2b+2c+2d)</t>
  </si>
  <si>
    <t>Other income</t>
  </si>
  <si>
    <t>Rent</t>
  </si>
  <si>
    <t>Commission</t>
  </si>
  <si>
    <t>Dividend</t>
  </si>
  <si>
    <t>Profit on sale of fixed assets</t>
  </si>
  <si>
    <t>Profit on sale of investment being securities chargeable to Securities Transaction Tax (STT)</t>
  </si>
  <si>
    <t>3f</t>
  </si>
  <si>
    <t>Profit on sale of other investment</t>
  </si>
  <si>
    <t>3g</t>
  </si>
  <si>
    <t>Profit on account of currency fluctuation</t>
  </si>
  <si>
    <t>3h</t>
  </si>
  <si>
    <t>Agriculture income</t>
  </si>
  <si>
    <t>3i</t>
  </si>
  <si>
    <t>Any other income</t>
  </si>
  <si>
    <t>3j</t>
  </si>
  <si>
    <t>Total of other income (3a to 3j)</t>
  </si>
  <si>
    <t>Closing Stock</t>
  </si>
  <si>
    <t>Totals of credits to profit and loss account (l+2e+3k+4)</t>
  </si>
  <si>
    <t>Opening Stock</t>
  </si>
  <si>
    <t>Purchases (net of refunds and duty or tax, if any)</t>
  </si>
  <si>
    <t>Duties and taxes, paid or payable, in respect of goods and services purchased</t>
  </si>
  <si>
    <t>Custom duty</t>
  </si>
  <si>
    <t>8a</t>
  </si>
  <si>
    <t>Counter vailing duty</t>
  </si>
  <si>
    <t>8b</t>
  </si>
  <si>
    <t>Special additional duty</t>
  </si>
  <si>
    <t>8c</t>
  </si>
  <si>
    <t xml:space="preserve">Sales/ Gross receipts </t>
  </si>
  <si>
    <t>Purchases (net)</t>
  </si>
  <si>
    <t>Prop.Capital 31-03-08</t>
  </si>
  <si>
    <t xml:space="preserve">Sales promotion including publicity </t>
  </si>
  <si>
    <t>Traveling expenses including foreign</t>
  </si>
  <si>
    <t>LONG TERM CAPITAL GAIN</t>
  </si>
  <si>
    <t>0202</t>
  </si>
  <si>
    <t>0204</t>
  </si>
  <si>
    <t>0301</t>
  </si>
  <si>
    <t>0501</t>
  </si>
  <si>
    <t>0505</t>
  </si>
  <si>
    <t>0602</t>
  </si>
  <si>
    <t>0603</t>
  </si>
  <si>
    <t>0607</t>
  </si>
  <si>
    <t>0702</t>
  </si>
  <si>
    <t>0703</t>
  </si>
  <si>
    <t>0705</t>
  </si>
  <si>
    <t>0712</t>
  </si>
  <si>
    <t>0713</t>
  </si>
  <si>
    <t>0714</t>
  </si>
  <si>
    <t>0809</t>
  </si>
  <si>
    <t>Trading</t>
  </si>
  <si>
    <t>Commission Agents</t>
  </si>
  <si>
    <t>Contractors</t>
  </si>
  <si>
    <t>Professionals</t>
  </si>
  <si>
    <t>Service Sectors</t>
  </si>
  <si>
    <t>Financial Service Sectors</t>
  </si>
  <si>
    <t>Retailers</t>
  </si>
  <si>
    <t>Gen. Comm. Agents</t>
  </si>
  <si>
    <t>Civil Contractors</t>
  </si>
  <si>
    <t>Fashion Designer</t>
  </si>
  <si>
    <t>Legal Professionals</t>
  </si>
  <si>
    <t>Beauty Parlours</t>
  </si>
  <si>
    <t>Transporters</t>
  </si>
  <si>
    <t>Tour Operators</t>
  </si>
  <si>
    <t>Union excise duty</t>
  </si>
  <si>
    <t>8d</t>
  </si>
  <si>
    <t>8e</t>
  </si>
  <si>
    <t>8f</t>
  </si>
  <si>
    <t>Any other tax, paid or payable</t>
  </si>
  <si>
    <t>8g</t>
  </si>
  <si>
    <t>Total (8a+8b+8c+8d+8e+8f+8g)</t>
  </si>
  <si>
    <t>Freight</t>
  </si>
  <si>
    <t>Consumption of stores and spare parts</t>
  </si>
  <si>
    <t>Power and fuel</t>
  </si>
  <si>
    <t>Rents</t>
  </si>
  <si>
    <t>DEBITS TO PROFIT AND LOSS ACCOUNT</t>
  </si>
  <si>
    <t xml:space="preserve">INCOME FROM BUSINESS OR PROFESSION </t>
  </si>
  <si>
    <t>DEPRECIATION ON PLANT AND MACHINERY</t>
  </si>
  <si>
    <t>DEPRECIATION ON OTHER ASSETS</t>
  </si>
  <si>
    <t>Income from Bus. or Profession</t>
  </si>
  <si>
    <t>SUMMARY OF DEPRECIATION ON ASSETS</t>
  </si>
  <si>
    <r>
      <t xml:space="preserve">Block entitled for depreciation @ 15 per cent </t>
    </r>
    <r>
      <rPr>
        <i/>
        <sz val="9"/>
        <rFont val="Arial Narrow"/>
        <family val="2"/>
      </rPr>
      <t>( Schedule DPM - 14 i)</t>
    </r>
  </si>
  <si>
    <r>
      <t xml:space="preserve">Block entitled for depreciation @ 5 per cent </t>
    </r>
    <r>
      <rPr>
        <i/>
        <sz val="10"/>
        <rFont val="Arial Narrow"/>
        <family val="2"/>
      </rPr>
      <t>(Schedule DOA- 14i)</t>
    </r>
  </si>
  <si>
    <r>
      <t xml:space="preserve">Block entitled for depreciation @ 10 per cent </t>
    </r>
    <r>
      <rPr>
        <i/>
        <sz val="10"/>
        <rFont val="Arial Narrow"/>
        <family val="2"/>
      </rPr>
      <t>(Schedule DOA- 14ii)</t>
    </r>
  </si>
  <si>
    <r>
      <t xml:space="preserve">Block entitled for depreciation @ 100 per cent </t>
    </r>
    <r>
      <rPr>
        <i/>
        <sz val="10"/>
        <rFont val="Arial Narrow"/>
        <family val="2"/>
      </rPr>
      <t>(Schedule DOA- 14iii)</t>
    </r>
  </si>
  <si>
    <r>
      <t xml:space="preserve">Furniture and Fittings </t>
    </r>
    <r>
      <rPr>
        <i/>
        <sz val="9"/>
        <rFont val="Arial"/>
        <family val="2"/>
      </rPr>
      <t>(Schedule DOA- 14 iv)</t>
    </r>
  </si>
  <si>
    <r>
      <t xml:space="preserve">Block entitled for depreciation @ 15 per cent </t>
    </r>
    <r>
      <rPr>
        <i/>
        <sz val="10"/>
        <rFont val="Arial Narrow"/>
        <family val="2"/>
      </rPr>
      <t>(Schedule DPM - 16i)</t>
    </r>
  </si>
  <si>
    <r>
      <t xml:space="preserve">Block entitled for depreciation @ 40 per </t>
    </r>
    <r>
      <rPr>
        <i/>
        <sz val="10"/>
        <rFont val="Arial Narrow"/>
        <family val="2"/>
      </rPr>
      <t>cent(Schedule DPM - 16iii)</t>
    </r>
  </si>
  <si>
    <r>
      <t xml:space="preserve">Block entitled for depreciation @ 50 per cent </t>
    </r>
    <r>
      <rPr>
        <i/>
        <sz val="10"/>
        <rFont val="Arial Narrow"/>
        <family val="2"/>
      </rPr>
      <t>(Schedule DPM - 16iv)</t>
    </r>
  </si>
  <si>
    <r>
      <t xml:space="preserve">Block entitled for depreciation @ 60 per cent </t>
    </r>
    <r>
      <rPr>
        <i/>
        <sz val="10"/>
        <rFont val="Arial Narrow"/>
        <family val="2"/>
      </rPr>
      <t>(Schedule DPM - 16v)</t>
    </r>
  </si>
  <si>
    <r>
      <t xml:space="preserve">Block entitled for depreciation @ 80 per cent </t>
    </r>
    <r>
      <rPr>
        <i/>
        <sz val="10"/>
        <rFont val="Arial Narrow"/>
        <family val="2"/>
      </rPr>
      <t>(Schedule DPM-16vi)</t>
    </r>
  </si>
  <si>
    <t>PROFIT AND LOSS ACCOUNT FOR THE YR ENDED 31-03-2011</t>
  </si>
  <si>
    <t>BALALCE SHEET AS ON  31-03-2011</t>
  </si>
  <si>
    <r>
      <t xml:space="preserve">Block entitled for depreciation @ 100 per cent </t>
    </r>
    <r>
      <rPr>
        <i/>
        <sz val="10"/>
        <rFont val="Arial Narrow"/>
        <family val="2"/>
      </rPr>
      <t>(Schedule DPM-16vii)</t>
    </r>
  </si>
  <si>
    <r>
      <t xml:space="preserve">Block entitled for depreciation @ 5 per cent   </t>
    </r>
    <r>
      <rPr>
        <i/>
        <sz val="9"/>
        <rFont val="Arial"/>
        <family val="2"/>
      </rPr>
      <t>(Schedule DOA- 16i)</t>
    </r>
  </si>
  <si>
    <t>Amounts debited to the profit and loss account, to the extent disallowable under sec. 40</t>
  </si>
  <si>
    <t>Amounts debited to the profit and loss account, to the extent disallowable under sec. 40A</t>
  </si>
  <si>
    <t>Repairs to building</t>
  </si>
  <si>
    <t>Repairs to machinery</t>
  </si>
  <si>
    <t>Compensation to employees</t>
  </si>
  <si>
    <t>Salaries and wages</t>
  </si>
  <si>
    <t>15a</t>
  </si>
  <si>
    <t>Bonus</t>
  </si>
  <si>
    <t>15b</t>
  </si>
  <si>
    <t>Reimbursement of medical expenses</t>
  </si>
  <si>
    <t>15c</t>
  </si>
  <si>
    <t>Leave encashment</t>
  </si>
  <si>
    <t>15d</t>
  </si>
  <si>
    <t>Leave travel benefits</t>
  </si>
  <si>
    <t>15e</t>
  </si>
  <si>
    <t>Contribution to approved superannuation fund</t>
  </si>
  <si>
    <t>15f</t>
  </si>
  <si>
    <t>Contribution to recognised provident fund</t>
  </si>
  <si>
    <t>15g</t>
  </si>
  <si>
    <t>Contribution to recognised gratuity fund</t>
  </si>
  <si>
    <t>15h</t>
  </si>
  <si>
    <t>Contribution to any other fund</t>
  </si>
  <si>
    <t>15i</t>
  </si>
  <si>
    <t>Any other benefit to employees in respect of which an expenditure has been incurred</t>
  </si>
  <si>
    <t>15j</t>
  </si>
  <si>
    <t>Total compensation to employees (15a+15b+15c+15d+15e+15f+15g+15h+15i+15j)</t>
  </si>
  <si>
    <t>Insurance</t>
  </si>
  <si>
    <t>Medical Insurance</t>
  </si>
  <si>
    <t>16a</t>
  </si>
  <si>
    <t>Life Insurance</t>
  </si>
  <si>
    <t>16b</t>
  </si>
  <si>
    <t>Keyman's Insurance</t>
  </si>
  <si>
    <t>16c</t>
  </si>
  <si>
    <t>Other Insurance</t>
  </si>
  <si>
    <t>16d</t>
  </si>
  <si>
    <t>Total expenditure on insurance (16a+16b+16c+16d)</t>
  </si>
  <si>
    <t>Workmen and staff welfare expenses</t>
  </si>
  <si>
    <t>Entertainment</t>
  </si>
  <si>
    <t>Hospitality</t>
  </si>
  <si>
    <t>ITR-4</t>
  </si>
  <si>
    <t>51a</t>
  </si>
  <si>
    <t>51b</t>
  </si>
  <si>
    <t>51c</t>
  </si>
  <si>
    <t>51d</t>
  </si>
  <si>
    <t>Amount of contributions to a recognised provident fund</t>
  </si>
  <si>
    <t>Amount of contributions to an approved superannuation fund</t>
  </si>
  <si>
    <t>Expenditure for the purposes of promoting family planning amongst employees</t>
  </si>
  <si>
    <t>6l</t>
  </si>
  <si>
    <t>Any sum received from employees as contribution to any provident fund or superannuation fund or any fund set up under ESI Act or any other fund for the welfare of employees to the extent credited to the employees account on or before the due date</t>
  </si>
  <si>
    <t>Total amount disallowable under section 36 (total of 6a to 6o)</t>
  </si>
  <si>
    <t>Amounts debited to the profit and loss account, to the extent disallowable under section 37</t>
  </si>
  <si>
    <t>Expenditure on advertisement in any souvenir, brochure, tract, pamphlet or the like, published by a political party</t>
  </si>
  <si>
    <t>Expenditure by way of penalty or fine for violation of any law for the time being in force</t>
  </si>
  <si>
    <t>Expenditure incurred for any purpose which is an offence or which is prohibited by law</t>
  </si>
  <si>
    <t>Amount of expenditure in relation to income which does not form part of total income</t>
  </si>
  <si>
    <t>Amount of tax or rate levied or assessed on the basis of profits</t>
  </si>
  <si>
    <t>Amount disallowable under section 40 (a)(i), 40(a)(ia) and 40(a)(iii) on account of non-compliance with the provisions of Chapter XVII-B</t>
  </si>
  <si>
    <t>Amount paid as wealth tax</t>
  </si>
  <si>
    <t>Amount of interest, salary, bonus, commission or remuneration paid to any partner or member</t>
  </si>
  <si>
    <t>Total amount disallowable under section 40( total of Aa to Ag)</t>
  </si>
  <si>
    <t>8B</t>
  </si>
  <si>
    <t>11g</t>
  </si>
  <si>
    <t>10g</t>
  </si>
  <si>
    <t>Pg 7</t>
  </si>
  <si>
    <t>Effect on the profit because of deviation, if any, in the method of accounting employed in the previous year from accounting standards prescribed under section 145A</t>
  </si>
  <si>
    <t>Method of valuation of closing stock employed in the previous year</t>
  </si>
  <si>
    <t>Raw Material (if at cost or market rates whichever is less write 1, if at cost write 2, if at market rate write 3)</t>
  </si>
  <si>
    <t>escalation claims accepted during the previous year</t>
  </si>
  <si>
    <t>any other item of income</t>
  </si>
  <si>
    <t>capital receipt, if any</t>
  </si>
  <si>
    <t>Amount of discount on a zero-coupon bond</t>
  </si>
  <si>
    <t>Amount of contributions to any other fund</t>
  </si>
  <si>
    <t>Amount of bad and doubtful debts</t>
  </si>
  <si>
    <t>Provision for bad and doubtful debts</t>
  </si>
  <si>
    <t>Amount transferred to any special reserve</t>
  </si>
  <si>
    <t>Any other disallowance</t>
  </si>
  <si>
    <t>6e</t>
  </si>
  <si>
    <t>6f</t>
  </si>
  <si>
    <t>6h</t>
  </si>
  <si>
    <t>6i</t>
  </si>
  <si>
    <t>6j</t>
  </si>
  <si>
    <t>6k</t>
  </si>
  <si>
    <t>6m</t>
  </si>
  <si>
    <t>6n</t>
  </si>
  <si>
    <t>Expenditure of personal nature;</t>
  </si>
  <si>
    <t>Any other penalty or fine;</t>
  </si>
  <si>
    <t>Amount of any liability of a contingent nature</t>
  </si>
  <si>
    <t>Any other amount not allowable under section 37</t>
  </si>
  <si>
    <t>7f</t>
  </si>
  <si>
    <t>7g</t>
  </si>
  <si>
    <t>7h</t>
  </si>
  <si>
    <t>Total amount disallowable under section 37(total of 7a to 7h)</t>
  </si>
  <si>
    <t>7i</t>
  </si>
  <si>
    <t>Amount paid as securities transaction tax</t>
  </si>
  <si>
    <t>Amount paid as fringe benefit tax</t>
  </si>
  <si>
    <t>Aa</t>
  </si>
  <si>
    <t>Ab</t>
  </si>
  <si>
    <t>Ac</t>
  </si>
  <si>
    <t>Ad</t>
  </si>
  <si>
    <t>Ae</t>
  </si>
  <si>
    <t>Af</t>
  </si>
  <si>
    <t>Ag</t>
  </si>
  <si>
    <t>8Ah</t>
  </si>
  <si>
    <t>Any amount disallowed under section 40 in any preceding previous year but allowable during the previous year</t>
  </si>
  <si>
    <t>Amounts paid to persons specified in section 40A(2)(b)</t>
  </si>
  <si>
    <t>Amount in excess of twenty thousand rupees, paid otherwise than by account payee cheque or account payee bank draft</t>
  </si>
  <si>
    <t>Provision for payment of gratuity</t>
  </si>
  <si>
    <t>any sum paid by the assessee as an employer for setting up or as contribution to any fund, trust, company, AOP, or BOI or society or any other institution;</t>
  </si>
  <si>
    <t>Total amount disallowable under section 40A</t>
  </si>
  <si>
    <t>9f</t>
  </si>
  <si>
    <t>Any amount disallowed under section 43B in any preceding previous year but allowable during the previous year</t>
  </si>
  <si>
    <t>Any sum in the nature of tax, duty, cess or fee under any law</t>
  </si>
  <si>
    <t>Any sum payable by way of contribution to any provident fund or superannuation fund or gratuity Fund or any other fund for the welfare of employees</t>
  </si>
  <si>
    <t>Any sum payable to an employee as bonus or commission for services rendered</t>
  </si>
  <si>
    <t>Any sum payable as interest on any loan or borrowing from any public financial institution or a State financial corporation or a State Industrial investment corporation</t>
  </si>
  <si>
    <t>Any sum payable as interest on any loan or borrowing from any scheduled bank</t>
  </si>
  <si>
    <t>Any sum payable towards leave encashment</t>
  </si>
  <si>
    <t>Any amount debited to profit and loss account of the previous year but disallowable under section 43B:-</t>
  </si>
  <si>
    <t>Amount of credit outstanding in the accounts in respect of</t>
  </si>
  <si>
    <t>Union Excise Duty</t>
  </si>
  <si>
    <t>VAT/sales tax</t>
  </si>
  <si>
    <t>Any other tax</t>
  </si>
  <si>
    <t>Total amount outstanding (total of 12a to 12d)</t>
  </si>
  <si>
    <t>12e</t>
  </si>
  <si>
    <t>Amounts deemed to be profits and gains under section 33 AB or 33 ABA or 33AC</t>
  </si>
  <si>
    <t>Any amount of profit chargeable to tax under section 41</t>
  </si>
  <si>
    <t>Amount of income or expenditure of prior period credited or debited to the profit and loss account (net)</t>
  </si>
  <si>
    <t>Opening stock</t>
  </si>
  <si>
    <t>Purchase during the previous year</t>
  </si>
  <si>
    <t>Sales during the previous year</t>
  </si>
  <si>
    <t>Closing stock</t>
  </si>
  <si>
    <t>Shortage/ excess, if any</t>
  </si>
  <si>
    <t>Purchases during the previous year</t>
  </si>
  <si>
    <t>Consumption during the previous year</t>
  </si>
  <si>
    <t>Yield finished products</t>
  </si>
  <si>
    <t>Percentage of yield</t>
  </si>
  <si>
    <t>6g</t>
  </si>
  <si>
    <t>Finished products/ By-products</t>
  </si>
  <si>
    <t>opening stock</t>
  </si>
  <si>
    <t>purchase during the previous year</t>
  </si>
  <si>
    <t>quantity manufactured during the previous year</t>
  </si>
  <si>
    <t>sales during the previous year</t>
  </si>
  <si>
    <t>closing stock</t>
  </si>
  <si>
    <t>shortage/ excess, if any</t>
  </si>
  <si>
    <t>SOURCES OF FUNDS</t>
  </si>
  <si>
    <t>APPLICATION OF FUNDS</t>
  </si>
  <si>
    <t>Part A-P &amp; L</t>
  </si>
  <si>
    <t>Conference</t>
  </si>
  <si>
    <t>Sales promotion including publicity (other than advertisement)</t>
  </si>
  <si>
    <t>Advertisement</t>
  </si>
  <si>
    <t>Hotel , boarding and Lodging</t>
  </si>
  <si>
    <t>Traveling expenses including foreign traveling</t>
  </si>
  <si>
    <t>Telephone expenses</t>
  </si>
  <si>
    <t>Guest House expenses</t>
  </si>
  <si>
    <t>Scholarship</t>
  </si>
  <si>
    <t>Gift</t>
  </si>
  <si>
    <t>Donation</t>
  </si>
  <si>
    <t xml:space="preserve">Union excise duty </t>
  </si>
  <si>
    <t xml:space="preserve">Service tax   </t>
  </si>
  <si>
    <t xml:space="preserve">VAT/ Sales tax                                               </t>
  </si>
  <si>
    <t xml:space="preserve">Cess   </t>
  </si>
  <si>
    <t>Total rates and taxes paid or payable (34a+34b+34c+34d+34e)</t>
  </si>
  <si>
    <t xml:space="preserve">Any other rate, tax, duty or cess   </t>
  </si>
  <si>
    <t>Other expenses</t>
  </si>
  <si>
    <t>Bad debts</t>
  </si>
  <si>
    <t>Other provisions</t>
  </si>
  <si>
    <t>interest</t>
  </si>
  <si>
    <t>Provision for current tax</t>
  </si>
  <si>
    <t>Provision for Deferred Tax</t>
  </si>
  <si>
    <t>Transferred to reserves and surplus</t>
  </si>
  <si>
    <t>Gross receipts</t>
  </si>
  <si>
    <t>Gross profit</t>
  </si>
  <si>
    <t>Net profit</t>
  </si>
  <si>
    <t>l</t>
  </si>
  <si>
    <t>15k</t>
  </si>
  <si>
    <t>Balance brought forward from previous year</t>
  </si>
  <si>
    <t>in a case where regular books of account of business or profession are not maintained, furnish the following information for previous year 2006-07 in respect of business or profession</t>
  </si>
  <si>
    <t>CREDITS TO PROFIT AND LOSS ACCOUNT</t>
  </si>
  <si>
    <t>TAX PROV. &amp; APPRO.</t>
  </si>
  <si>
    <t>From business or profession other than speculative business</t>
  </si>
  <si>
    <t>Profit before tax as per profit and loss account (item 43 or item 51d of Part A-P&amp;L )</t>
  </si>
  <si>
    <t>Income/ receipts credited to profit and loss account considered under other heads of income</t>
  </si>
  <si>
    <t>Amount of the Bank &amp; Cash Balance</t>
  </si>
  <si>
    <t>Profit or loss included in 1, which is referred to in section 44 AD/44 AE/44AF/44B/44BB/44BBA/44BBB/ 44D/44DA Chapter-XH-G/ First Schedule of Income-tax Act</t>
  </si>
  <si>
    <t>Share of income from AOP/ BOI</t>
  </si>
  <si>
    <t>Any other exempt income</t>
  </si>
  <si>
    <t>Total exempt income</t>
  </si>
  <si>
    <t>Balance (1-2 -3 -4 -5d)</t>
  </si>
  <si>
    <t>Adjusted profit or loss (6+9)</t>
  </si>
  <si>
    <t>Depreciation debited to profit and loss account included in 9</t>
  </si>
  <si>
    <t>Depreciation allowable under Income-tax Act</t>
  </si>
  <si>
    <t>Depreciation allowable under section 32(l)(ii)</t>
  </si>
  <si>
    <t>Depreciation allowable under section 32(l)(i)</t>
  </si>
  <si>
    <t>Profit or loss after adjustment for depreciation (10 +11 - 12iii)</t>
  </si>
  <si>
    <t>Deemed income under section 41</t>
  </si>
  <si>
    <t>Deduction allowable under section 32(l)(iii)</t>
  </si>
  <si>
    <t>Deduction under section 35AC</t>
  </si>
  <si>
    <t>Amount allowable as deduction</t>
  </si>
  <si>
    <t>Any other amount allowable as deduction</t>
  </si>
  <si>
    <t>29a</t>
  </si>
  <si>
    <t>29b</t>
  </si>
  <si>
    <t>29c</t>
  </si>
  <si>
    <t>Income (13 + 24 - 31)</t>
  </si>
  <si>
    <t>Father's Name</t>
  </si>
  <si>
    <t>Consultancy services</t>
  </si>
  <si>
    <t>Coaching Institutes</t>
  </si>
  <si>
    <t>Profits and gains of business or profession deemed to be under -</t>
  </si>
  <si>
    <t>Section 44AD</t>
  </si>
  <si>
    <t>Section 44AE</t>
  </si>
  <si>
    <t>Section 44AF</t>
  </si>
  <si>
    <t>Section 44B</t>
  </si>
  <si>
    <t>Section 44BB</t>
  </si>
  <si>
    <t>Section 44BBA</t>
  </si>
  <si>
    <t>33i</t>
  </si>
  <si>
    <t>33ii</t>
  </si>
  <si>
    <t>33iii</t>
  </si>
  <si>
    <t>33iv</t>
  </si>
  <si>
    <t>33v</t>
  </si>
  <si>
    <t>33vi</t>
  </si>
  <si>
    <t>Section 44BBB</t>
  </si>
  <si>
    <t>vili</t>
  </si>
  <si>
    <t>Section 44D</t>
  </si>
  <si>
    <t>Section 44DA</t>
  </si>
  <si>
    <t>33ix</t>
  </si>
  <si>
    <t>33 x</t>
  </si>
  <si>
    <t>First Schedule of Income-tax Act</t>
  </si>
  <si>
    <t>33xi</t>
  </si>
  <si>
    <t>Total (33i to 33xi)</t>
  </si>
  <si>
    <t>33xii</t>
  </si>
  <si>
    <t>Profit or loss before deduction under section 10A/10AA/10B/10BA (32 + 33xi)</t>
  </si>
  <si>
    <t>Deductions under section-</t>
  </si>
  <si>
    <t>Total (35i + 35ii +35iii + 35iv)</t>
  </si>
  <si>
    <t>35v</t>
  </si>
  <si>
    <t>Net profit or loss from business or profession other than speculative business (34 - 35v)</t>
  </si>
  <si>
    <t>Net Profit or loss from business or profession after applying rule 7A, 7B or 7C</t>
  </si>
  <si>
    <t>A37</t>
  </si>
  <si>
    <t>Computation of income from speculative business</t>
  </si>
  <si>
    <t>Net profit or loss from speculative business as per profit or loss account</t>
  </si>
  <si>
    <t>Additions in accordance with section 28 to 44DA</t>
  </si>
  <si>
    <t>Deductions in accordance with section 28 to 44DA</t>
  </si>
  <si>
    <t>Profit or loss from speculative business (38+39-40)</t>
  </si>
  <si>
    <t>B41</t>
  </si>
  <si>
    <t>Income chargeable under the head 'Profits and gains' (A37+B41)</t>
  </si>
  <si>
    <t>Plant and machinery</t>
  </si>
  <si>
    <t>Rate (%)</t>
  </si>
  <si>
    <t>(v)</t>
  </si>
  <si>
    <t>(vi)</t>
  </si>
  <si>
    <t>(vii)</t>
  </si>
  <si>
    <t>Written down value on the first day of previous year</t>
  </si>
  <si>
    <t>Additions for a period of 180 days or more in the previous year</t>
  </si>
  <si>
    <t>Consideration or other realization during the previous year out of 3 or 4</t>
  </si>
  <si>
    <t>Amount on which depreciation at full rate to be allowed (3 + 4 -5)</t>
  </si>
  <si>
    <t>Additions for a period of less than 180 days in the previous year</t>
  </si>
  <si>
    <t>Consideration or other realizations during the year out of 7</t>
  </si>
  <si>
    <t>Amount on which depreciation at half rate to be allowed (7-8)</t>
  </si>
  <si>
    <t>Depreciation on 6 at full rate</t>
  </si>
  <si>
    <t>Depreciation on 9 at half rate</t>
  </si>
  <si>
    <t>Additional depreciation, if any, on 4</t>
  </si>
  <si>
    <t>Additional depreciation, if any, on 7</t>
  </si>
  <si>
    <t>Total depreciation* (10+11+12+13)</t>
  </si>
  <si>
    <t xml:space="preserve">Tax Amount </t>
  </si>
  <si>
    <t>Expenditure incurred in connection with transfer of asset/ assets</t>
  </si>
  <si>
    <t>Capital gains/ loss under section 50* (5 + 8 -3-4 -7 -15)</t>
  </si>
  <si>
    <t>Written down value on the last day of previous year* (6+ 9 -14)</t>
  </si>
  <si>
    <t>Schedule DOA</t>
  </si>
  <si>
    <t>Building</t>
  </si>
  <si>
    <t>Ships</t>
  </si>
  <si>
    <t>Consideration or other realization</t>
  </si>
  <si>
    <t>during the previous year out of 3 or 4</t>
  </si>
  <si>
    <t>Total depreciation on building</t>
  </si>
  <si>
    <t>Total depreciation ( lh+2d+3+4+5)</t>
  </si>
  <si>
    <t>Total ( 2a + 2b + 2c)</t>
  </si>
  <si>
    <t xml:space="preserve">Cash-in-hand </t>
  </si>
  <si>
    <t xml:space="preserve">Balance with Banks </t>
  </si>
  <si>
    <r>
      <t xml:space="preserve">Sales/ Gross receipts of business or profession </t>
    </r>
    <r>
      <rPr>
        <sz val="8"/>
        <rFont val="Arial"/>
        <family val="2"/>
      </rPr>
      <t/>
    </r>
  </si>
  <si>
    <r>
      <t>(</t>
    </r>
    <r>
      <rPr>
        <i/>
        <sz val="8"/>
        <rFont val="Arial"/>
        <family val="2"/>
      </rPr>
      <t>'Net of returns and refunds and duty or tax, if any)</t>
    </r>
  </si>
  <si>
    <t>Rates and taxes, paid or payable to Government or any local body (excluding taxes on income)</t>
  </si>
  <si>
    <t>Profit before taxes (40-41-42)</t>
  </si>
  <si>
    <t>Profit after tax (43 - 44 - 45 )</t>
  </si>
  <si>
    <t xml:space="preserve">Method of accounting employed in the previous year Tick </t>
  </si>
  <si>
    <t>Mercantile</t>
  </si>
  <si>
    <t>Cash</t>
  </si>
  <si>
    <t xml:space="preserve">Is there any change in method of accounting Tick </t>
  </si>
  <si>
    <t>o</t>
  </si>
  <si>
    <t>Total amount allowable under section 43B (total of l0a to l0f)</t>
  </si>
  <si>
    <t>Total amount disallowable under Section 43B(total of 11a to 11f)</t>
  </si>
  <si>
    <t>Part A-QD</t>
  </si>
  <si>
    <t>In the case of a trading concern</t>
  </si>
  <si>
    <t>In the case of a manufacturing concern</t>
  </si>
  <si>
    <t>QUANTITATIVE  DETAILS</t>
  </si>
  <si>
    <t>11d</t>
  </si>
  <si>
    <t>11a</t>
  </si>
  <si>
    <t>11b</t>
  </si>
  <si>
    <t>11c</t>
  </si>
  <si>
    <r>
      <t xml:space="preserve">10A </t>
    </r>
    <r>
      <rPr>
        <i/>
        <sz val="9"/>
        <rFont val="Arial"/>
        <family val="2"/>
      </rPr>
      <t>(6 of 'Schedule- 10A)</t>
    </r>
  </si>
  <si>
    <r>
      <t xml:space="preserve">10AA </t>
    </r>
    <r>
      <rPr>
        <i/>
        <sz val="9"/>
        <rFont val="Arial"/>
        <family val="2"/>
      </rPr>
      <t>(d of Schedule- 10AA)</t>
    </r>
  </si>
  <si>
    <r>
      <t xml:space="preserve">10B </t>
    </r>
    <r>
      <rPr>
        <i/>
        <sz val="9"/>
        <rFont val="Arial"/>
        <family val="2"/>
      </rPr>
      <t>(fofSchedule-lOB)</t>
    </r>
  </si>
  <si>
    <r>
      <t xml:space="preserve">10BA </t>
    </r>
    <r>
      <rPr>
        <i/>
        <sz val="9"/>
        <rFont val="Arial"/>
        <family val="2"/>
      </rPr>
      <t>(fofSchedule-lOBA)</t>
    </r>
  </si>
  <si>
    <r>
      <t xml:space="preserve">Block entitled for depreciation @ 30 per cent </t>
    </r>
    <r>
      <rPr>
        <i/>
        <sz val="9"/>
        <rFont val="Arial"/>
        <family val="2"/>
      </rPr>
      <t>( Schedule DPM - 14 ii)</t>
    </r>
  </si>
  <si>
    <r>
      <t xml:space="preserve">Block entitled for depreciation @ 50 per cent </t>
    </r>
    <r>
      <rPr>
        <i/>
        <sz val="9"/>
        <rFont val="Arial"/>
        <family val="2"/>
      </rPr>
      <t>( Schedule DPM - 14 iv)</t>
    </r>
  </si>
  <si>
    <r>
      <t xml:space="preserve">Block entitled for depreciation @ 60 per cent </t>
    </r>
    <r>
      <rPr>
        <i/>
        <sz val="9"/>
        <rFont val="Arial"/>
        <family val="2"/>
      </rPr>
      <t>( Schedule DPM - 14 v)</t>
    </r>
  </si>
  <si>
    <r>
      <t xml:space="preserve">Block entitled for depreciation @ 80 per cent </t>
    </r>
    <r>
      <rPr>
        <i/>
        <sz val="9"/>
        <rFont val="Arial"/>
        <family val="2"/>
      </rPr>
      <t>( Schedule DPM - 14 vi)</t>
    </r>
  </si>
  <si>
    <r>
      <t xml:space="preserve">Block entitled for depreciation @ 100 per cent </t>
    </r>
    <r>
      <rPr>
        <i/>
        <sz val="9"/>
        <rFont val="Arial"/>
        <family val="2"/>
      </rPr>
      <t>( Schedule DPM - 14 vii)</t>
    </r>
  </si>
  <si>
    <r>
      <t xml:space="preserve">Intangible assets </t>
    </r>
    <r>
      <rPr>
        <i/>
        <sz val="9"/>
        <rFont val="Arial"/>
        <family val="2"/>
      </rPr>
      <t>(Schedule DOA- 14 v)</t>
    </r>
  </si>
  <si>
    <r>
      <t xml:space="preserve">Ships </t>
    </r>
    <r>
      <rPr>
        <i/>
        <sz val="9"/>
        <rFont val="Arial"/>
        <family val="2"/>
      </rPr>
      <t>(Schedule DOA- 14 vi)</t>
    </r>
  </si>
  <si>
    <t>Total (bi+bii)</t>
  </si>
  <si>
    <t>Total Loan Funds (aiii+biii)</t>
  </si>
  <si>
    <t>(fill items 1 to 50 in a case where regular books of accounts are maintained, otherwise fill item 51)</t>
  </si>
  <si>
    <t>3k</t>
  </si>
  <si>
    <t>8h</t>
  </si>
  <si>
    <t>16e</t>
  </si>
  <si>
    <t>Conveyance expenses</t>
  </si>
  <si>
    <t>Club expenses</t>
  </si>
  <si>
    <t>Festival celebration expenses</t>
  </si>
  <si>
    <t>34a</t>
  </si>
  <si>
    <t>34b</t>
  </si>
  <si>
    <t>34c</t>
  </si>
  <si>
    <t>34d</t>
  </si>
  <si>
    <t>34e</t>
  </si>
  <si>
    <t>34f</t>
  </si>
  <si>
    <t>Audit Fees</t>
  </si>
  <si>
    <t>Profit before interest, depreciation and taxes</t>
  </si>
  <si>
    <t>[5 - (6 + 7 + 8h + 9 to 14 + 151 + 16e + 17 to 33 + 34f + 35 to 39)]</t>
  </si>
  <si>
    <t>Amount available for appropriation (46+47)</t>
  </si>
  <si>
    <t>Balance carried to balance sheet in proprietor's account (48-49)</t>
  </si>
  <si>
    <t>Part A-OI</t>
  </si>
  <si>
    <r>
      <t>Other Information</t>
    </r>
    <r>
      <rPr>
        <sz val="9"/>
        <rFont val="Arial"/>
        <family val="2"/>
      </rPr>
      <t xml:space="preserve"> </t>
    </r>
    <r>
      <rPr>
        <i/>
        <sz val="9"/>
        <rFont val="Arial Narrow"/>
        <family val="2"/>
      </rPr>
      <t>(optional in a case not liable for audit under section 44AB)</t>
    </r>
  </si>
  <si>
    <t>Finished goods (if at cost or market rates whichever is less write 1, if at cost write 2, if at market rate write3)</t>
  </si>
  <si>
    <r>
      <t xml:space="preserve">Block entitled for depreciation @ 10 per cent </t>
    </r>
    <r>
      <rPr>
        <i/>
        <sz val="9"/>
        <rFont val="Arial"/>
        <family val="2"/>
      </rPr>
      <t>(Schedule DOA- 16ii)</t>
    </r>
  </si>
  <si>
    <r>
      <t xml:space="preserve">Furniture and fittings </t>
    </r>
    <r>
      <rPr>
        <i/>
        <sz val="9"/>
        <rFont val="Arial"/>
        <family val="2"/>
      </rPr>
      <t>( Schedule DOA- 16iv)</t>
    </r>
  </si>
  <si>
    <r>
      <t xml:space="preserve">Intangible assets </t>
    </r>
    <r>
      <rPr>
        <i/>
        <sz val="9"/>
        <rFont val="Arial"/>
        <family val="2"/>
      </rPr>
      <t>(Schedule DOA- 16v)</t>
    </r>
  </si>
  <si>
    <r>
      <t xml:space="preserve">Ships </t>
    </r>
    <r>
      <rPr>
        <i/>
        <sz val="9"/>
        <rFont val="Arial"/>
        <family val="2"/>
      </rPr>
      <t>(Schedule DOA- 16vi)</t>
    </r>
  </si>
  <si>
    <t>Amounts not credited to the profit and loss account, being -</t>
  </si>
  <si>
    <t xml:space="preserve"> the items falling within the scope of section 28</t>
  </si>
  <si>
    <t>Effect on the profit or loss because of deviation, if any, from the method of valuation prescribed under section 145A</t>
  </si>
  <si>
    <t>the proforma credits, drawbacks, refund of duty of customs or excise or service tax, or refund of sales tax or value added tax, where such credits, drawbacks or refunds are admitted as due by the authorities concerned</t>
  </si>
  <si>
    <t>Total of amounts not credited to profit and loss account (5a+5b+5c+5d+5e)</t>
  </si>
  <si>
    <t>6o</t>
  </si>
  <si>
    <t>p</t>
  </si>
  <si>
    <t>6p</t>
  </si>
  <si>
    <t>Amounts debited to the profit and loss account, to the extent disallowable under section 36:-</t>
  </si>
  <si>
    <t>Premium paid for insurance against risk of damage or destruction of stocks or store</t>
  </si>
  <si>
    <t>Premium paid for insurance on the health of Employees</t>
  </si>
  <si>
    <t>SEC 44AB</t>
  </si>
  <si>
    <t>PROFESSIONS - RECEIPTS EXCEEDING Rs. 1000,000</t>
  </si>
  <si>
    <t>BUSINESS - Sales / Turnover / Receipts Exceeding Rs. 4000,000</t>
  </si>
  <si>
    <t>Ass Yr 2011-12 (Rs. 15 Lakhs)</t>
  </si>
  <si>
    <t>Ass Yr 2011-12 (Rs. 60 Lakhs)</t>
  </si>
  <si>
    <t>Any sum paid to an employee as bonus or commission for services rendered, where such sum was otherwise payable to him as profits or dividend.</t>
  </si>
  <si>
    <t>Any amount of interest paid in respect of borrowed capital</t>
  </si>
  <si>
    <t>Yes</t>
  </si>
  <si>
    <t>No</t>
  </si>
  <si>
    <t>Surname</t>
  </si>
  <si>
    <t>F-surname</t>
  </si>
  <si>
    <t>PAN</t>
  </si>
  <si>
    <t>Ward</t>
  </si>
  <si>
    <t>Sex</t>
  </si>
  <si>
    <t>Name</t>
  </si>
  <si>
    <t>ANNUAL VALUE</t>
  </si>
  <si>
    <t>CAPITAL GAINS</t>
  </si>
  <si>
    <t>SHORT TERM CAPITAL GAIN</t>
  </si>
  <si>
    <t>LONG   TERM CAPITAL GAIN</t>
  </si>
  <si>
    <t>OTHER SOURCES</t>
  </si>
  <si>
    <t>GROSS TOTAL INCOME</t>
  </si>
  <si>
    <t>INCOME FROM BUSINESS OR PROFESSION</t>
  </si>
  <si>
    <t>TAX ON TOTAL INCOME</t>
  </si>
  <si>
    <t>NET TAX  PAYABLE</t>
  </si>
  <si>
    <t>TOTAL  INCOME</t>
  </si>
  <si>
    <t>TOTAL TAX  LIABILITY</t>
  </si>
  <si>
    <t>NOT APPLICABLE if Liabilty of Advance Tax does not arise i.e Rs. 10000</t>
  </si>
  <si>
    <t xml:space="preserve">TAX PAID : </t>
  </si>
  <si>
    <t>PUBLIC PROVIDENT FUND</t>
  </si>
  <si>
    <t>PROVIDENT FUND</t>
  </si>
  <si>
    <t>HOUSE PROPERTY</t>
  </si>
  <si>
    <t>OTHERS</t>
  </si>
  <si>
    <t xml:space="preserve">SALARIES </t>
  </si>
  <si>
    <t>LESS: DED. U/S 24(1)</t>
  </si>
  <si>
    <t>ü</t>
  </si>
  <si>
    <t>LESS: DEDUCTIONS UNDER CHAPTER VI-A</t>
  </si>
  <si>
    <t>AMOUNT (Rs.)</t>
  </si>
  <si>
    <t>NORMAL INCOME</t>
  </si>
  <si>
    <t>SPECIAL INCOME</t>
  </si>
  <si>
    <r>
      <t xml:space="preserve">ADD : INTEREST  PAYABLE </t>
    </r>
    <r>
      <rPr>
        <sz val="10"/>
        <color indexed="9"/>
        <rFont val="Arial"/>
        <family val="2"/>
      </rPr>
      <t>U/S 234-A, 234-B &amp; 234-C</t>
    </r>
  </si>
  <si>
    <t xml:space="preserve">INCOME  </t>
  </si>
  <si>
    <t>RATE</t>
  </si>
  <si>
    <t>ADD : INTEREST  PAYABLE U/S  234A, 234B &amp; 234C</t>
  </si>
  <si>
    <t>TAX</t>
  </si>
  <si>
    <t>LESS: DED. U/S 10</t>
  </si>
  <si>
    <t>33vii</t>
  </si>
  <si>
    <t>Schedule DPM</t>
  </si>
  <si>
    <t>Depreciation on Plant and Machinery</t>
  </si>
  <si>
    <t>Block of Assets</t>
  </si>
  <si>
    <t>Plant &amp; Machinery</t>
  </si>
  <si>
    <t>Depreciation on Other Assets</t>
  </si>
  <si>
    <t>Furniture &amp; Fittings</t>
  </si>
  <si>
    <t>Intangible Assets</t>
  </si>
  <si>
    <t>Pg 12</t>
  </si>
  <si>
    <t>Schedule DEP</t>
  </si>
  <si>
    <t>Summary of depreciation on assets</t>
  </si>
  <si>
    <t>Total depreciation on plant and machinery ( 1a +1b +1c +1d+ 1e +1f + 1g )</t>
  </si>
  <si>
    <t>Schedule DCG</t>
  </si>
  <si>
    <t>Deemed Capital Gains on sale of depreciable assets</t>
  </si>
  <si>
    <t xml:space="preserve">b </t>
  </si>
  <si>
    <t>Pg 13</t>
  </si>
  <si>
    <t>Total ( 1a +1b +1c +1d+ 1e +1f + 1g )</t>
  </si>
  <si>
    <t>Total ( 1h+2d+3+4+5)</t>
  </si>
  <si>
    <t>Total of current assets, loans and advances (av + biv)</t>
  </si>
  <si>
    <t xml:space="preserve">Rent Paid </t>
  </si>
  <si>
    <t xml:space="preserve">H R A Received  </t>
  </si>
  <si>
    <t>LEAST AMOUNT IS EXEMPTED U/S 10(13A)</t>
  </si>
  <si>
    <t>Current Assets</t>
  </si>
  <si>
    <t>Inventories - Finished</t>
  </si>
  <si>
    <t xml:space="preserve">Purchases </t>
  </si>
  <si>
    <t>Workmen and staff welfare</t>
  </si>
  <si>
    <t>Festival expenses</t>
  </si>
  <si>
    <r>
      <t>Sales / Gross receipts</t>
    </r>
    <r>
      <rPr>
        <sz val="8"/>
        <rFont val="Arial"/>
        <family val="2"/>
      </rPr>
      <t/>
    </r>
  </si>
  <si>
    <t>Cr.</t>
  </si>
  <si>
    <t>Dr.</t>
  </si>
  <si>
    <t>ADVANCE TAX PAID ( Challan Attached )</t>
  </si>
  <si>
    <t>T. D. S. BY THE EMPLOYER (Form No.16 )</t>
  </si>
  <si>
    <t xml:space="preserve">TAXABLE AMOUNT </t>
  </si>
  <si>
    <t>Per Month</t>
  </si>
  <si>
    <t>Annual</t>
  </si>
  <si>
    <t>SELF-ASSESSMENT TAX PAID (Challan Attached)</t>
  </si>
  <si>
    <t>C O M P U T A T I O N   O F   I N C O M E   A N D   T A X   P A I D</t>
  </si>
  <si>
    <t xml:space="preserve">Computation of Income &amp; Tax - Estimated </t>
  </si>
  <si>
    <t>EXEMPTED INCOME U/S 10</t>
  </si>
  <si>
    <t>TOTAL TAX PAYABLE</t>
  </si>
  <si>
    <t>(LET OUT)</t>
  </si>
  <si>
    <t>SALARY RECEIVED</t>
  </si>
  <si>
    <t>Sec. 80-C</t>
  </si>
  <si>
    <t>(ii)</t>
  </si>
  <si>
    <t>T. D. S. BY THE EMPLOYER  U/S 192 (Form No.16)</t>
  </si>
  <si>
    <t xml:space="preserve">TAX PAID U/S 199 : </t>
  </si>
  <si>
    <t>LIC  PREMIUM</t>
  </si>
  <si>
    <t>T. D. S. BY  BANK U/S 194A (Form No.16-A)</t>
  </si>
  <si>
    <t>CALCULATION OF INTT. UNDER SECTIONS  234-C</t>
  </si>
  <si>
    <t>TOTAL TAX LIABILITY INCL. EDU CESS</t>
  </si>
  <si>
    <t xml:space="preserve">LESS : TDS BY EMPLOYER, BANK  </t>
  </si>
  <si>
    <t xml:space="preserve">LIABLITY  FOR ADVANCE  TAX </t>
  </si>
  <si>
    <t>234-C</t>
  </si>
  <si>
    <t xml:space="preserve">Instalment </t>
  </si>
  <si>
    <t>Last Date</t>
  </si>
  <si>
    <t xml:space="preserve">Amount </t>
  </si>
  <si>
    <t>Rounded</t>
  </si>
  <si>
    <t xml:space="preserve">Shortfall </t>
  </si>
  <si>
    <t>Interest</t>
  </si>
  <si>
    <t>First</t>
  </si>
  <si>
    <t>Second</t>
  </si>
  <si>
    <t>Third</t>
  </si>
  <si>
    <t xml:space="preserve">CALCULATION OF INTT. UNDER SECTIONS  234-B </t>
  </si>
  <si>
    <t>234-B</t>
  </si>
  <si>
    <t>Months</t>
  </si>
  <si>
    <t>CALCULATION OF INTT. UNDER SECTIONS  234-A</t>
  </si>
  <si>
    <t>LIABLITY  FOR DELAY IN FILING RETURN</t>
  </si>
  <si>
    <t>Last</t>
  </si>
  <si>
    <t>TOTAL INTT.</t>
  </si>
  <si>
    <t>234-A</t>
  </si>
  <si>
    <t>Deposit Date</t>
  </si>
  <si>
    <t>Filed Date</t>
  </si>
  <si>
    <t>LESS :  ADVANCE TAX PAID</t>
  </si>
  <si>
    <t xml:space="preserve">LIABLITY FOR SHORTFALL </t>
  </si>
  <si>
    <t>ONLY IF SHORTFALL EXCEEDS 10 % OF ADVANCE TAX</t>
  </si>
  <si>
    <t>Part A-BS</t>
  </si>
  <si>
    <t>(fill items 1 to 5 in a case where regular books of accounts are maintained, otherwise fill item 6)</t>
  </si>
  <si>
    <t>Preference Shares</t>
  </si>
  <si>
    <t xml:space="preserve">In a case where regular books of account of business or profession are not maintained - </t>
  </si>
  <si>
    <t>(furnish the following information as on 31" day of March, 2007, in respect of business or profession)</t>
  </si>
  <si>
    <t>Other Information</t>
  </si>
  <si>
    <t>35i</t>
  </si>
  <si>
    <t>35ii</t>
  </si>
  <si>
    <t>35iii</t>
  </si>
  <si>
    <t>35iv</t>
  </si>
  <si>
    <t>Section 80G</t>
  </si>
  <si>
    <r>
      <t xml:space="preserve">ADD : EDUCATION CESS </t>
    </r>
    <r>
      <rPr>
        <sz val="8"/>
        <rFont val="Arial"/>
        <family val="2"/>
      </rPr>
      <t>(3 % ON TAX PAYABLE &amp; SURCHARGE)</t>
    </r>
  </si>
  <si>
    <t>a</t>
  </si>
  <si>
    <t>7a</t>
  </si>
  <si>
    <t>b</t>
  </si>
  <si>
    <t>7b</t>
  </si>
  <si>
    <t>c</t>
  </si>
  <si>
    <t>7c</t>
  </si>
  <si>
    <t>d</t>
  </si>
  <si>
    <t>Income upto       Rs. 120,000 and Total Sales upto      Rs. 1000,000</t>
  </si>
  <si>
    <t xml:space="preserve">Repairs to Machinery </t>
  </si>
  <si>
    <t>Prop's Fund</t>
  </si>
  <si>
    <t>Personal Nature Exp</t>
  </si>
  <si>
    <t>considered under other heads</t>
  </si>
  <si>
    <t xml:space="preserve">Income cr. to P &amp; L - </t>
  </si>
  <si>
    <t>Profits 44AD / AE / AF</t>
  </si>
  <si>
    <t>AG82</t>
  </si>
  <si>
    <t>X106</t>
  </si>
  <si>
    <t>X107</t>
  </si>
  <si>
    <t>X130</t>
  </si>
  <si>
    <t>AG132</t>
  </si>
  <si>
    <t>X134</t>
  </si>
  <si>
    <t>X135</t>
  </si>
  <si>
    <t>X147</t>
  </si>
  <si>
    <t>Bal c/f to Prop.'s A/c</t>
  </si>
  <si>
    <t>AG173</t>
  </si>
  <si>
    <t>Dividend Rece.</t>
  </si>
  <si>
    <t>Interest Rece.</t>
  </si>
  <si>
    <t>Any other income Rece</t>
  </si>
  <si>
    <t>X185</t>
  </si>
  <si>
    <t>X186</t>
  </si>
  <si>
    <t>X192</t>
  </si>
  <si>
    <t>AG194</t>
  </si>
  <si>
    <t>AG196</t>
  </si>
  <si>
    <t>AG197</t>
  </si>
  <si>
    <t>AG207</t>
  </si>
  <si>
    <t>AG209</t>
  </si>
  <si>
    <t>AG210</t>
  </si>
  <si>
    <t>AG212</t>
  </si>
  <si>
    <t>X214</t>
  </si>
  <si>
    <t>AG231</t>
  </si>
  <si>
    <t>AG232</t>
  </si>
  <si>
    <t>AG241</t>
  </si>
  <si>
    <t>AG242</t>
  </si>
  <si>
    <t>AG245</t>
  </si>
  <si>
    <t>AG257</t>
  </si>
  <si>
    <t>AG262</t>
  </si>
  <si>
    <t>AG263</t>
  </si>
  <si>
    <t>Salary / Pension, One House Property, Other Sources, Family Pension, Agri Income, Exempted Income</t>
  </si>
  <si>
    <t>No B/f HP Loss from Previous year ; No Lottery / Race Horses Income;  No carry forward Losses</t>
  </si>
  <si>
    <t xml:space="preserve">Salary, H Property, C Gain, Other Sources, Clubbing, Agri Income, Exempted Income,  B/f, C/f </t>
  </si>
  <si>
    <t xml:space="preserve">Total Turnover / Receipt not exceeding Rs. 60 Lakhs, Presumptive Income 8% </t>
  </si>
  <si>
    <r>
      <t xml:space="preserve">Salary, H Prop, Capital Gain, Business Income </t>
    </r>
    <r>
      <rPr>
        <sz val="9"/>
        <color indexed="12"/>
        <rFont val="Arial"/>
        <family val="2"/>
      </rPr>
      <t xml:space="preserve">(Excl Professional Income), </t>
    </r>
    <r>
      <rPr>
        <sz val="9"/>
        <rFont val="Arial"/>
        <family val="2"/>
      </rPr>
      <t xml:space="preserve"> Other Sources</t>
    </r>
  </si>
  <si>
    <t xml:space="preserve">Goods Carriage not more than 10, Then Income Rs. 5000 (Heavy)  or 4500 (Non-Heavy)  Per Month </t>
  </si>
  <si>
    <t>Salary, H Prop, Business,  Partnership Firm</t>
  </si>
  <si>
    <t>AG271</t>
  </si>
  <si>
    <t>X324</t>
  </si>
  <si>
    <t>X557</t>
  </si>
  <si>
    <t>X558</t>
  </si>
  <si>
    <t>Net Profit</t>
  </si>
  <si>
    <t>AG555</t>
  </si>
  <si>
    <t>X601</t>
  </si>
  <si>
    <t>X602</t>
  </si>
  <si>
    <t>X603</t>
  </si>
  <si>
    <t>Trading Concern</t>
  </si>
  <si>
    <t xml:space="preserve">Opening Stock </t>
  </si>
  <si>
    <r>
      <t xml:space="preserve">Sales </t>
    </r>
    <r>
      <rPr>
        <sz val="8"/>
        <rFont val="Arial"/>
        <family val="2"/>
      </rPr>
      <t/>
    </r>
  </si>
  <si>
    <t>AG381</t>
  </si>
  <si>
    <t>AG382</t>
  </si>
  <si>
    <t>AG383</t>
  </si>
  <si>
    <t>AG384</t>
  </si>
  <si>
    <t>O8</t>
  </si>
  <si>
    <t>O9</t>
  </si>
  <si>
    <t>O10</t>
  </si>
  <si>
    <t>O11</t>
  </si>
  <si>
    <t>O12</t>
  </si>
  <si>
    <t>O13</t>
  </si>
  <si>
    <t>O14</t>
  </si>
  <si>
    <t>O15</t>
  </si>
  <si>
    <t>O16</t>
  </si>
  <si>
    <t>O17</t>
  </si>
  <si>
    <t>O18</t>
  </si>
  <si>
    <t>O19</t>
  </si>
  <si>
    <t>O20</t>
  </si>
  <si>
    <t>O21</t>
  </si>
  <si>
    <t>O22</t>
  </si>
  <si>
    <t>AE8</t>
  </si>
  <si>
    <t>AE9</t>
  </si>
  <si>
    <t>AE10</t>
  </si>
  <si>
    <t>AE11</t>
  </si>
  <si>
    <t>AE12</t>
  </si>
  <si>
    <t>AE13</t>
  </si>
  <si>
    <t>AE14</t>
  </si>
  <si>
    <t>AE15</t>
  </si>
  <si>
    <t>AE16</t>
  </si>
  <si>
    <t>AE17</t>
  </si>
  <si>
    <t>AE18</t>
  </si>
  <si>
    <t>AE19</t>
  </si>
  <si>
    <t>AE20</t>
  </si>
  <si>
    <t>AE21</t>
  </si>
  <si>
    <t>AE22</t>
  </si>
  <si>
    <t>AE23</t>
  </si>
  <si>
    <t>AE24</t>
  </si>
  <si>
    <t>AE25</t>
  </si>
  <si>
    <t>AE26</t>
  </si>
  <si>
    <t>AE27</t>
  </si>
  <si>
    <t>AE28</t>
  </si>
  <si>
    <t>O25</t>
  </si>
  <si>
    <t>O26</t>
  </si>
  <si>
    <t>O27</t>
  </si>
  <si>
    <t>Amt.</t>
  </si>
  <si>
    <t xml:space="preserve">ACS </t>
  </si>
  <si>
    <t>O28</t>
  </si>
  <si>
    <t>AE29</t>
  </si>
  <si>
    <t>7d</t>
  </si>
  <si>
    <t>e</t>
  </si>
  <si>
    <t>7e</t>
  </si>
  <si>
    <t>Others</t>
  </si>
  <si>
    <t>Schedule - AIR deleted from ITRs</t>
  </si>
  <si>
    <t>001-Depoited Cash Rs. 10 Lakhs or more  in saving A/c</t>
  </si>
  <si>
    <t>002- Payment of Credit Card Bill Rs. 2 Lakhs or more</t>
  </si>
  <si>
    <t>003- Investment in Mutual Funds Rs. 2 Lakhs or more</t>
  </si>
  <si>
    <t>004- Invest in Comp Bonds / Deb Rs. 5 Lakhs or more</t>
  </si>
  <si>
    <t>005- Investment in Comp Shares Rs. 1 Lakh or more</t>
  </si>
  <si>
    <t>006- Purchase of Property Rs. 30 Lakhs or more (Jointly)</t>
  </si>
  <si>
    <t>007- Sale of Property Rs. 30 Lakhs or more (Jointly)</t>
  </si>
  <si>
    <t>008- Investment in RBI Bonds Rs. 5 Lakhs or more</t>
  </si>
  <si>
    <t xml:space="preserve">Proposed Addition </t>
  </si>
  <si>
    <t>Depoited Cash Rs. 50 Lakhs or more  in Curreent  A/c</t>
  </si>
  <si>
    <t>Payment of Debit  Card Payment   Rs. 2 Lakhs or more</t>
  </si>
  <si>
    <t>Issue of Bank Draft / Pay order Rs. 1 Lakh in one day</t>
  </si>
  <si>
    <t>Purchase / Sale  of Property Rs. 20 Lakhs or more (Jointly)</t>
  </si>
  <si>
    <t>Investment in FDRS  Rs. 5 Lakhs or more</t>
  </si>
  <si>
    <t>ITR 1 - Sahaj</t>
  </si>
  <si>
    <t xml:space="preserve">ITR 2 </t>
  </si>
  <si>
    <t>ITR 4 - Sugam</t>
  </si>
  <si>
    <t xml:space="preserve">ITR 4 </t>
  </si>
  <si>
    <t xml:space="preserve">Capital Gain, Other Sources, Clubbing, Agri, Exempted, B/f, C/f </t>
  </si>
  <si>
    <t>i</t>
  </si>
  <si>
    <t>f</t>
  </si>
  <si>
    <t>j</t>
  </si>
  <si>
    <t>g</t>
  </si>
  <si>
    <t>k</t>
  </si>
  <si>
    <t>h</t>
  </si>
  <si>
    <t>m</t>
  </si>
  <si>
    <t>9a</t>
  </si>
  <si>
    <t>9b</t>
  </si>
  <si>
    <t>9c</t>
  </si>
  <si>
    <t>9d</t>
  </si>
  <si>
    <r>
      <t>BALANCE SHEET AS ON 31</t>
    </r>
    <r>
      <rPr>
        <vertAlign val="superscript"/>
        <sz val="9"/>
        <rFont val="Arial"/>
        <family val="2"/>
      </rPr>
      <t>ST</t>
    </r>
    <r>
      <rPr>
        <sz val="9"/>
        <rFont val="Arial"/>
        <family val="2"/>
      </rPr>
      <t xml:space="preserve"> DAY OF MARCH, 2008 OF THE PROPRIETORY BUSINESS</t>
    </r>
  </si>
  <si>
    <t>(i)</t>
  </si>
  <si>
    <t>(iii)</t>
  </si>
  <si>
    <t>NOTE ►</t>
  </si>
  <si>
    <t>ii</t>
  </si>
  <si>
    <t>iii</t>
  </si>
  <si>
    <t>iv</t>
  </si>
  <si>
    <t>v</t>
  </si>
  <si>
    <t>TOTAL TAX AND INTEREST PAYABLE</t>
  </si>
  <si>
    <t xml:space="preserve">LESS : LOCAL TAXES PAID </t>
  </si>
  <si>
    <t>(a)</t>
  </si>
  <si>
    <t>(b)</t>
  </si>
  <si>
    <t>3b</t>
  </si>
  <si>
    <t>3c</t>
  </si>
  <si>
    <t>ADD : EDUCATION CESS (2 % ON TAX PAYABLE)</t>
  </si>
  <si>
    <t>ADD : EDUCATION CESS (1 % ON TAX PAYABLE)</t>
  </si>
  <si>
    <t>Rounding Off u/s 288B</t>
  </si>
  <si>
    <t xml:space="preserve">TOTAL  INCOME </t>
  </si>
  <si>
    <t xml:space="preserve">TAX ON TOTAL INCOME </t>
  </si>
  <si>
    <t>Rounding Off u/s 288A</t>
  </si>
  <si>
    <t>4a</t>
  </si>
  <si>
    <t>4b</t>
  </si>
  <si>
    <t>4c</t>
  </si>
  <si>
    <t>5a</t>
  </si>
  <si>
    <t>5b</t>
  </si>
  <si>
    <t>5c</t>
  </si>
  <si>
    <t>5d</t>
  </si>
  <si>
    <t>2a</t>
  </si>
  <si>
    <t>2e</t>
  </si>
  <si>
    <t>3a</t>
  </si>
  <si>
    <t>Please include the income of the specified persons referred to in Schedule SPI while computing the income under this head</t>
  </si>
  <si>
    <t>A</t>
  </si>
  <si>
    <t>bi</t>
  </si>
  <si>
    <t>bii</t>
  </si>
  <si>
    <t>biv</t>
  </si>
  <si>
    <t>2c</t>
  </si>
  <si>
    <t>2d</t>
  </si>
  <si>
    <t>B</t>
  </si>
  <si>
    <t>biii</t>
  </si>
  <si>
    <t>3d</t>
  </si>
  <si>
    <t>C</t>
  </si>
  <si>
    <t>D</t>
  </si>
  <si>
    <t>V</t>
  </si>
  <si>
    <t>vi</t>
  </si>
  <si>
    <t>vii</t>
  </si>
  <si>
    <t>ONLY IF AMOUNT EXCEEDS Rs. 10000</t>
  </si>
  <si>
    <t>ix</t>
  </si>
  <si>
    <t>X</t>
  </si>
  <si>
    <t>xi</t>
  </si>
  <si>
    <t>xii</t>
  </si>
  <si>
    <t>n</t>
  </si>
  <si>
    <t>1b</t>
  </si>
  <si>
    <t>1a</t>
  </si>
  <si>
    <t>1c</t>
  </si>
  <si>
    <t>Purchase of Jewellery Rs. 5 Lakhs or more</t>
  </si>
  <si>
    <t>Foreign Travel Expenditure exceeding Rs.</t>
  </si>
  <si>
    <t>1d</t>
  </si>
  <si>
    <t>1e</t>
  </si>
  <si>
    <t>1f</t>
  </si>
  <si>
    <t>1g</t>
  </si>
  <si>
    <t>1h</t>
  </si>
  <si>
    <t>2b</t>
  </si>
  <si>
    <t>(iv)</t>
  </si>
  <si>
    <t>3e</t>
  </si>
  <si>
    <t>Expenses</t>
  </si>
  <si>
    <t>Depreciation</t>
  </si>
  <si>
    <r>
      <t>Is</t>
    </r>
    <r>
      <rPr>
        <i/>
        <sz val="9"/>
        <rFont val="Arial"/>
        <family val="2"/>
      </rPr>
      <t xml:space="preserve"> </t>
    </r>
    <r>
      <rPr>
        <sz val="9"/>
        <rFont val="Arial"/>
        <family val="2"/>
      </rPr>
      <t xml:space="preserve">there any change in stock valuation method Tick </t>
    </r>
  </si>
  <si>
    <t>5f</t>
  </si>
  <si>
    <t>5e</t>
  </si>
  <si>
    <t>9e</t>
  </si>
  <si>
    <t>10a</t>
  </si>
  <si>
    <t>10b</t>
  </si>
  <si>
    <t>10c</t>
  </si>
  <si>
    <t>10d</t>
  </si>
  <si>
    <t>10e</t>
  </si>
  <si>
    <t>10f</t>
  </si>
  <si>
    <t>11e</t>
  </si>
  <si>
    <t>12a</t>
  </si>
  <si>
    <t>12b</t>
  </si>
  <si>
    <t>12c</t>
  </si>
  <si>
    <t>12d</t>
  </si>
  <si>
    <t>Pg 2</t>
  </si>
  <si>
    <t>Pg 3</t>
  </si>
  <si>
    <t>Pg 4</t>
  </si>
  <si>
    <t>Pg 5</t>
  </si>
  <si>
    <t>Pg 6</t>
  </si>
  <si>
    <r>
      <t xml:space="preserve">FAMILY PENSION </t>
    </r>
    <r>
      <rPr>
        <sz val="8"/>
        <color indexed="10"/>
        <rFont val="Arial"/>
        <family val="2"/>
      </rPr>
      <t/>
    </r>
  </si>
  <si>
    <t>LESS : STD. DED. U/S  57(iia)</t>
  </si>
  <si>
    <t>LESS: EXEMPTED  ALLOWANCES U/S 10</t>
  </si>
  <si>
    <t>--- N A ---</t>
  </si>
  <si>
    <t>SELF-ASSESSMENT TAX PAID U/S 140A</t>
  </si>
  <si>
    <t>INTT. ON PUBLIC PROV. FUND</t>
  </si>
  <si>
    <t>Section 80D</t>
  </si>
  <si>
    <t>Section 80U</t>
  </si>
  <si>
    <t>NIL</t>
  </si>
  <si>
    <t>Computation of income from business or profession</t>
  </si>
  <si>
    <t>Schedule BP</t>
  </si>
  <si>
    <t>Pg 10</t>
  </si>
  <si>
    <t>Net profit or loss from speculative business included in 1</t>
  </si>
  <si>
    <t>Income credited to Profit and Loss account (included in 1)which is exempt</t>
  </si>
  <si>
    <t>share of income from firm(s)</t>
  </si>
  <si>
    <t>Expenses debited to profit and loss account considered under other heads of income</t>
  </si>
  <si>
    <t>Expenses debited to profit and loss account which relate to exempt income</t>
  </si>
  <si>
    <t>Total (7 + 8)</t>
  </si>
  <si>
    <t>Total (12i + 12ii)</t>
  </si>
  <si>
    <t>(Column 6 of Schedule-DEP)</t>
  </si>
  <si>
    <t>(Make your own computation and enter)</t>
  </si>
  <si>
    <t>Amounts debited to the profit and loss account, to the extent disallowable under section 36 (6p of Part-OI)</t>
  </si>
  <si>
    <t>Amounts debited to the profit and loss account, to the extent disallowable under section 37 (7i of Part-OI)</t>
  </si>
  <si>
    <t>Amounts debited to the profit and loss account, to the extent disallowable under section 40 (8Ah of Part-OI)</t>
  </si>
  <si>
    <t>Amounts debited to the profit and loss account, to the extent disallowable under section 40A (9f of Part-OI)</t>
  </si>
  <si>
    <t>Any amount debited to profit and loss account of the previous year but disallowable under section 43B (llg of Part-OI)</t>
  </si>
  <si>
    <t>Interest disallowable under section 23 of the Micro, Small and Medium Enterprises Development Act 2006</t>
  </si>
  <si>
    <t>Deemed income under section 33AB/33ABA/35ABB/72A/80HHD/80-IA</t>
  </si>
  <si>
    <t>Any other item or items of addition under section 28 to 44DA</t>
  </si>
  <si>
    <t>Any other income not included in profit and loss account/any other expense not allowable</t>
  </si>
  <si>
    <r>
      <t>Quantitative Details</t>
    </r>
    <r>
      <rPr>
        <sz val="9"/>
        <rFont val="Arial"/>
        <family val="2"/>
      </rPr>
      <t xml:space="preserve"> </t>
    </r>
    <r>
      <rPr>
        <i/>
        <sz val="9"/>
        <rFont val="Arial Narrow"/>
        <family val="2"/>
      </rPr>
      <t>(optional in a case not liable for audit under section 44AB)</t>
    </r>
  </si>
  <si>
    <t>Chapter-XII-G</t>
  </si>
  <si>
    <t>33viii</t>
  </si>
  <si>
    <t>Capital gains/ loss under section 50* (5+8-3-4-7-15)</t>
  </si>
  <si>
    <r>
      <t xml:space="preserve">Block entitled for depreciation @ 40 per cent </t>
    </r>
    <r>
      <rPr>
        <i/>
        <sz val="9"/>
        <rFont val="Arial"/>
        <family val="2"/>
      </rPr>
      <t>( Schedule DPM - 14 iii)</t>
    </r>
  </si>
  <si>
    <r>
      <t xml:space="preserve">Block entitled for depreciation @ 30 per cent </t>
    </r>
    <r>
      <rPr>
        <i/>
        <sz val="10"/>
        <rFont val="Arial Narrow"/>
        <family val="2"/>
      </rPr>
      <t>(Schedule DPM-16ii)</t>
    </r>
  </si>
  <si>
    <r>
      <t xml:space="preserve">Block entitled for depreciation @ 100 per cent </t>
    </r>
    <r>
      <rPr>
        <i/>
        <sz val="9"/>
        <rFont val="Arial"/>
        <family val="2"/>
      </rPr>
      <t>(Schedule DOA- 16iii)</t>
    </r>
  </si>
  <si>
    <t>SEC 44AA</t>
  </si>
  <si>
    <t>SPECIFIED PROFESSIONS</t>
  </si>
  <si>
    <t>As per ITO</t>
  </si>
  <si>
    <t xml:space="preserve"> Gross  Receipts upto       Rs. 150,000</t>
  </si>
  <si>
    <t>Rule 6F</t>
  </si>
  <si>
    <t xml:space="preserve"> Gross  Receipts exceeds Rs. 150,000</t>
  </si>
  <si>
    <r>
      <t xml:space="preserve">NON-SPECIFIED PROFESSIONS </t>
    </r>
    <r>
      <rPr>
        <sz val="9"/>
        <rFont val="Arial"/>
        <family val="2"/>
      </rPr>
      <t>(Excl 44AD,AE,AF)</t>
    </r>
  </si>
  <si>
    <t>Income exceeds Rs. 120,000 or Total Sales exceeds Rs. 1000,000</t>
  </si>
  <si>
    <t xml:space="preserve">EXPENSES </t>
  </si>
  <si>
    <t>AMOUNT</t>
  </si>
  <si>
    <t xml:space="preserve">INCOME / RECEIPTS </t>
  </si>
  <si>
    <t xml:space="preserve">LIABILTY </t>
  </si>
  <si>
    <t xml:space="preserve">ASSETS </t>
  </si>
  <si>
    <t>Total (14 + 15 + 16 + 17 + 18 + 19 + 20 + 21+22 +23)</t>
  </si>
  <si>
    <t>Pg 11</t>
  </si>
  <si>
    <t>12i</t>
  </si>
  <si>
    <t>12ii</t>
  </si>
  <si>
    <t>12iii</t>
  </si>
  <si>
    <t>Total (25 + 26 + 27+28 +29c +30)</t>
  </si>
  <si>
    <t>Amount of deduction under section 35 in excess of the amount debited to profit and loss account (item vii(4) of Schedule ESR)</t>
  </si>
  <si>
    <t>Any amount disallowed under section 40 in any preceding previous year but allowable during the previous year(8BBof Part-OI)</t>
  </si>
  <si>
    <t>Any amount disallowed under section 43B in any preceding previous year but allowable during the previous year(10g of Part-OI)</t>
  </si>
  <si>
    <t>Amount, if any, debited to profit and loss account</t>
  </si>
  <si>
    <t>Excess amount allowable as deduction (29b-29a)</t>
  </si>
  <si>
    <t>AAAPS0200J</t>
  </si>
  <si>
    <t>Proprietor's fund</t>
  </si>
  <si>
    <t>Proprietor's capital</t>
  </si>
  <si>
    <t>Reserves and Surplus</t>
  </si>
  <si>
    <t>Revaluation Reserve</t>
  </si>
  <si>
    <t>Capital Reserve</t>
  </si>
  <si>
    <t>Statutory Reserve</t>
  </si>
  <si>
    <t>Any other Reserve</t>
  </si>
  <si>
    <t>Total (bi + bii + biii + biv)</t>
  </si>
  <si>
    <t>bv</t>
  </si>
  <si>
    <t>Total proprietor's fund (a + bv)</t>
  </si>
  <si>
    <t>Ic</t>
  </si>
  <si>
    <t>Loan funds</t>
  </si>
  <si>
    <t>Secured loans</t>
  </si>
  <si>
    <t>Foreign Currency Loans</t>
  </si>
  <si>
    <t>ai</t>
  </si>
  <si>
    <t>Rupee Loans</t>
  </si>
  <si>
    <t>From Banks</t>
  </si>
  <si>
    <t>iiA</t>
  </si>
  <si>
    <t>From others</t>
  </si>
  <si>
    <t>iiB</t>
  </si>
  <si>
    <t>Total ( iiiA + iiiB)</t>
  </si>
  <si>
    <t>iiC</t>
  </si>
  <si>
    <t>Total (ai + iiC)</t>
  </si>
  <si>
    <t>aiii</t>
  </si>
  <si>
    <t>Unsecured loans</t>
  </si>
  <si>
    <t>Deferred tax liability</t>
  </si>
  <si>
    <t>Sources of funds (Ic + 2c +3)</t>
  </si>
  <si>
    <t>Fixed assets</t>
  </si>
  <si>
    <t>Gross: Block</t>
  </si>
  <si>
    <t>la</t>
  </si>
  <si>
    <t>Ib</t>
  </si>
  <si>
    <t>Net Block (a - b)</t>
  </si>
  <si>
    <t>Capital work-in-progress</t>
  </si>
  <si>
    <t>Id</t>
  </si>
  <si>
    <t>Total (Ic + Id)</t>
  </si>
  <si>
    <t>le</t>
  </si>
  <si>
    <t>Investments</t>
  </si>
  <si>
    <t>Long-term investments</t>
  </si>
  <si>
    <t>Government and other Securities - Quoted</t>
  </si>
  <si>
    <t>Government and other Securities - Unquoted</t>
  </si>
  <si>
    <t>aii</t>
  </si>
  <si>
    <t>Total (ai + aii)</t>
  </si>
  <si>
    <t>Trade investments</t>
  </si>
  <si>
    <t>Equity Shares</t>
  </si>
  <si>
    <t>Debenture</t>
  </si>
  <si>
    <t>Total (bi + bii + biii)</t>
  </si>
  <si>
    <t>Total investments (aiii + biv)</t>
  </si>
  <si>
    <t>Current assets, loans and advances</t>
  </si>
  <si>
    <t>Current assets</t>
  </si>
  <si>
    <t>Inventories</t>
  </si>
  <si>
    <t xml:space="preserve">Profit </t>
  </si>
  <si>
    <t>Stores/consumables including packing material</t>
  </si>
  <si>
    <t>iA</t>
  </si>
  <si>
    <t>Raw materials</t>
  </si>
  <si>
    <t>iB</t>
  </si>
  <si>
    <t>Stock-in-process</t>
  </si>
  <si>
    <t>iC</t>
  </si>
  <si>
    <t>Finished Goods/Traded Goods</t>
  </si>
  <si>
    <t>iD</t>
  </si>
  <si>
    <t>E</t>
  </si>
  <si>
    <t>Total (iA + iB + iC + iD)</t>
  </si>
  <si>
    <t>iE</t>
  </si>
  <si>
    <t>Sundry Debtors</t>
  </si>
  <si>
    <t>ili</t>
  </si>
  <si>
    <t>Cash and Bank Balances</t>
  </si>
  <si>
    <t>iiiA</t>
  </si>
  <si>
    <t>iiiB</t>
  </si>
  <si>
    <t>Total (iiiA + iiiB)</t>
  </si>
  <si>
    <t>iiiC</t>
  </si>
  <si>
    <t>Other Current Assets</t>
  </si>
  <si>
    <t>aiv</t>
  </si>
  <si>
    <t>Section 80TTA</t>
  </si>
  <si>
    <t xml:space="preserve">SAVING BANKS INTEREST </t>
  </si>
  <si>
    <r>
      <t>DIVIDEND ON MUTUAL FUND / EQUITY SHARES</t>
    </r>
    <r>
      <rPr>
        <b/>
        <sz val="8"/>
        <rFont val="Arial"/>
        <family val="2"/>
      </rPr>
      <t/>
    </r>
  </si>
  <si>
    <t>LONG TERM CAPITAL GAIN (STT Paid)</t>
  </si>
  <si>
    <t xml:space="preserve">OTHER EXEMPTED INCOMES </t>
  </si>
  <si>
    <t>GROUP INSURANCE</t>
  </si>
  <si>
    <t>JEEWAN SURAKSHA PREM.</t>
  </si>
  <si>
    <t>NSCs PURCHASED</t>
  </si>
  <si>
    <t xml:space="preserve">EDUCATION-TUITION FEES </t>
  </si>
  <si>
    <t xml:space="preserve">TAX SAVER BANK FIXED DEPOSIT </t>
  </si>
  <si>
    <t>ELSS - MUTUAL FUND</t>
  </si>
  <si>
    <t>H B A (PRIN. AMT.)</t>
  </si>
  <si>
    <t xml:space="preserve">GROSS RECEIPTS </t>
  </si>
  <si>
    <t xml:space="preserve">LESS EXPENSES INCURRED </t>
  </si>
  <si>
    <t xml:space="preserve">ADVANCE TAX PAID U/S 210 </t>
  </si>
  <si>
    <r>
      <t xml:space="preserve">SALARIES </t>
    </r>
    <r>
      <rPr>
        <sz val="10"/>
        <color theme="1"/>
        <rFont val="Arial"/>
        <family val="2"/>
      </rPr>
      <t>U/S 15-17</t>
    </r>
  </si>
  <si>
    <r>
      <t xml:space="preserve">HOUSE PROPERTY </t>
    </r>
    <r>
      <rPr>
        <sz val="10"/>
        <color theme="1"/>
        <rFont val="Arial"/>
        <family val="2"/>
      </rPr>
      <t>U/S 22-27</t>
    </r>
  </si>
  <si>
    <r>
      <t xml:space="preserve">INCOME FROM BUSINESS OR PROFESSION </t>
    </r>
    <r>
      <rPr>
        <sz val="10"/>
        <color theme="1"/>
        <rFont val="Arial"/>
        <family val="2"/>
      </rPr>
      <t>U/S 28-44</t>
    </r>
  </si>
  <si>
    <r>
      <t xml:space="preserve">CAPITAL GAINS </t>
    </r>
    <r>
      <rPr>
        <sz val="10"/>
        <color theme="1"/>
        <rFont val="Arial"/>
        <family val="2"/>
      </rPr>
      <t>U/S 45 - 55</t>
    </r>
  </si>
  <si>
    <r>
      <t xml:space="preserve">OTHER SOURCES </t>
    </r>
    <r>
      <rPr>
        <sz val="10"/>
        <color theme="1"/>
        <rFont val="Arial"/>
        <family val="2"/>
      </rPr>
      <t>U/S 56-59</t>
    </r>
  </si>
  <si>
    <r>
      <t xml:space="preserve">LESS: DEDUCTIONS UNDER CHAPTER VI-A </t>
    </r>
    <r>
      <rPr>
        <sz val="10"/>
        <color theme="1"/>
        <rFont val="Arial"/>
        <family val="2"/>
      </rPr>
      <t>U/S 80</t>
    </r>
  </si>
  <si>
    <t>FDR INTEREST</t>
  </si>
  <si>
    <t>MISC INCOMES</t>
  </si>
  <si>
    <t>Sec. 80-D, TTA</t>
  </si>
  <si>
    <t>File / Ass.year</t>
  </si>
  <si>
    <t>First/ Middle</t>
  </si>
  <si>
    <t>F-first/ Middle</t>
  </si>
  <si>
    <t>DOB</t>
  </si>
  <si>
    <t>Resi -Flat / Pocket</t>
  </si>
  <si>
    <t>Resi - Area/ State</t>
  </si>
  <si>
    <t>PIN / Mobile</t>
  </si>
  <si>
    <t>Office-Name</t>
  </si>
  <si>
    <t>Off- Address</t>
  </si>
  <si>
    <t xml:space="preserve">PIN </t>
  </si>
  <si>
    <t>Amount (Rs.)</t>
  </si>
  <si>
    <t xml:space="preserve">Self-Occupied </t>
  </si>
  <si>
    <r>
      <t xml:space="preserve">LESS : REBATE  U/S 87A </t>
    </r>
    <r>
      <rPr>
        <sz val="8"/>
        <color theme="1"/>
        <rFont val="Arial Narrow"/>
        <family val="2"/>
      </rPr>
      <t>(Rs. 2000, if Total Income upto Rs. 5 Lakhs)</t>
    </r>
  </si>
  <si>
    <t>Sr Resident &gt; 60 Yrs</t>
  </si>
  <si>
    <t>Sr Resident &gt; 80 Yrs</t>
  </si>
  <si>
    <t xml:space="preserve">Edu Cess 3 % </t>
  </si>
  <si>
    <t>Male      /     Female    / Non-Resi</t>
  </si>
  <si>
    <t>CALCULATIONS OF EXEMPTED AMT. OF H. R. A.</t>
  </si>
  <si>
    <t xml:space="preserve">50 % of  Basic + Grade Pay </t>
  </si>
  <si>
    <t>Excess of Rent Paid over 10 % of Basic+Gr Salary</t>
  </si>
  <si>
    <t>Budget-2015 Proposals by Finance Minister Arun Jaitley on Sat 28-02-15</t>
  </si>
  <si>
    <t>2. Surcharge from 10 % to 12 % if income exceeds 1 Crore</t>
  </si>
  <si>
    <t xml:space="preserve">1. No change in Exemption Limit , Tax Rates </t>
  </si>
  <si>
    <r>
      <t xml:space="preserve">ADD : SURCHARGE </t>
    </r>
    <r>
      <rPr>
        <sz val="8"/>
        <color theme="1"/>
        <rFont val="Arial Narrow"/>
        <family val="2"/>
      </rPr>
      <t xml:space="preserve"> (12 % if Total Income Exceeds 100 Lakhs subject to Marginal Relief) </t>
    </r>
  </si>
  <si>
    <t>3. Transport Allowance Exempted Amt increased from Monthly Rs 800 to Rs 1600</t>
  </si>
  <si>
    <t>Upto 250000</t>
  </si>
  <si>
    <t>Above 10,00,000</t>
  </si>
  <si>
    <t>NOT APPLICABLE if return is filed by due date i.e 31-07-2015</t>
  </si>
  <si>
    <t>Aadhaar</t>
  </si>
  <si>
    <t xml:space="preserve">Email / Mobile </t>
  </si>
  <si>
    <t>Password</t>
  </si>
  <si>
    <t xml:space="preserve">5. Preventive Health Check up Rs 5000 Additional Amount </t>
  </si>
  <si>
    <t>10. Section 80U:  Rs. 50000 to 75000 and for severe Rs. 100000 to 125000</t>
  </si>
  <si>
    <t>12. 80G Donation 100 % Swatchh Bharat Kosh &amp; Clean Ganga Fund</t>
  </si>
  <si>
    <t>Wealth Tax abolished</t>
  </si>
  <si>
    <t>Service Tax from 12.36 % to 14%, Further 14.5%</t>
  </si>
  <si>
    <t>Corporation Tax gradually from 30 % to 25 %</t>
  </si>
  <si>
    <t xml:space="preserve">GST from 01-04-2016 (Now doubtful) </t>
  </si>
  <si>
    <t>6. NPS Amount increased from 100,000 to Rs. 150,000 under Section 80C</t>
  </si>
  <si>
    <t>8. Sukanya Samridhi Scheme  introduced u/s 80C</t>
  </si>
  <si>
    <t>9. Section 80DD; Rs. 50000 to 75000 and for severe Rs. 100000 to 125000</t>
  </si>
  <si>
    <t xml:space="preserve">President Pranab Mukherjee 11-12-1935 (Super Senior Citizen) </t>
  </si>
  <si>
    <t>Budget-2016 Proposals by Finance Minister Arun Jaitley on Monday, 29-02-2016</t>
  </si>
  <si>
    <t xml:space="preserve">No change in Exemption Limit , Tax Rates </t>
  </si>
  <si>
    <t>Surcharge from 12 % to 15 % if income exceeds 1 Crore</t>
  </si>
  <si>
    <t>Rebate increased from Rs. 2000 to Rs. 5000 u/s 87A if income not exceeding Rs. 500,000</t>
  </si>
  <si>
    <t>Intt on Housing Loan u/s 80EE for First Time House Owners (Loan not exccding Rs. 35 Lakhs and Property Cost not excceeding Rs. 50 Lakhs)</t>
  </si>
  <si>
    <t>Turnover Limit increased from Rs. 1 Crore to Rs. 2 Crores u/s 44AD</t>
  </si>
  <si>
    <t>Employer's Contribution to RPF/Super Annuation exempted upto Rs. 150,000</t>
  </si>
  <si>
    <t>Deduction u/s 80GG increased from Rs. 24000 to Rs. 60000 (Not getting HRA but Living in Rented)</t>
  </si>
  <si>
    <t>Belated Return can be revised before expiry of one year from the end of Assessment Year.</t>
  </si>
  <si>
    <t>Audit Limit for Professionals increased from Rs. 25 Lkahs to Rs. 50 Lkahs u/s 44AB</t>
  </si>
  <si>
    <t>Dividend to be taxed @ 10% on exceeded amount  if Div. exceeds Rs. 10 Lakhs (Ind / HUF / Firms)</t>
  </si>
  <si>
    <t>Penalty (Min-100 %; Max-300 %) changed to (Under_Reporting-50%; Mis_Reporting-200%)</t>
  </si>
  <si>
    <t>Refund on Interest inceased from  6 % to 9% p.a. beyond 90 days in case of Appellate Orders</t>
  </si>
  <si>
    <t>TDS U/S 194C for Contractors (Limit for No Deduction from 75000 to 100,000)</t>
  </si>
  <si>
    <t>TDS U/S 194H @ 10% to 5% in case of Commission /Brokerage  (Limit for No TDS from 5000 to 15000)</t>
  </si>
  <si>
    <t xml:space="preserve">TDS U/S 194DA @ 2% to 1% in case of Maturity of LIC Policy  amount </t>
  </si>
  <si>
    <t>TDS U/S 194EE @ 20% to 10% in case of Withdrawal fom NSS</t>
  </si>
  <si>
    <t xml:space="preserve">Tax Collection @ 1% if Motor Car value exceeds Rs. 10 Lakhs </t>
  </si>
  <si>
    <t>Securities Transaction Tax in Options  Inceased from  .017% to .050%</t>
  </si>
  <si>
    <t>Krishi Kalyan Cess @ .50% on Taxable Services with effect from 01-06-16</t>
  </si>
  <si>
    <t xml:space="preserve">Excise Duty from NIL to 2 % (without Input Credit) on Readymade Garments exceeding Rs. 1000 </t>
  </si>
  <si>
    <t xml:space="preserve">Domestic Tax Payer can declare undislosed income @ 45 % (Tax 30% + 7.50% Krishi Kalyan Surcharge + 7.50% Penalty) from 01-06-16 to 30-09-16 (Tax within 2 months from declaration) Immunity from prosecution </t>
  </si>
  <si>
    <t>Infrastructure Cess @ 1 % on Small Petrol Cars, LPG, CNG…4 % on Higher Engine Cars / SUVs</t>
  </si>
  <si>
    <t xml:space="preserve">Tax Collection @ 1% if purchased of Goods /Services (other than Bullion or JewellerY) in Cash exceeds Rs. 2 Lakhs </t>
  </si>
  <si>
    <t xml:space="preserve">Any Accumulated Returns (Interest) towards National Pension Scheme / Recognised Prov Fund / Superannuation made after 01-04-2016 will be 40 % exempt at the time of Retirement  (But not taxable in hands of Legal Heirs); If invested in Annuity , then not Taxable </t>
  </si>
  <si>
    <t>2016-17</t>
  </si>
  <si>
    <t>Financial Year : 2016-17</t>
  </si>
  <si>
    <t>7. Additional  NPS u/s 80CCD (1B)  Rs. 50000….So Total Rs. 200,000</t>
  </si>
  <si>
    <t>TA Exempted increased from Monthly Rs 800 to Rs 1600</t>
  </si>
  <si>
    <r>
      <t xml:space="preserve">Mediclaim 15000 to 25000 (Sr Citizen 20000 to 25000, </t>
    </r>
    <r>
      <rPr>
        <sz val="8"/>
        <color rgb="FFC00000"/>
        <rFont val="Arial"/>
        <family val="2"/>
      </rPr>
      <t>Super</t>
    </r>
    <r>
      <rPr>
        <sz val="8"/>
        <color rgb="FF37404E"/>
        <rFont val="Arial"/>
        <family val="2"/>
      </rPr>
      <t xml:space="preserve"> 30000) </t>
    </r>
  </si>
  <si>
    <t>Section 80DD / 80U; Rs. 50000 to 75000 and for severe Rs. 100000 to 125000</t>
  </si>
  <si>
    <r>
      <t xml:space="preserve">Section 80DDB; </t>
    </r>
    <r>
      <rPr>
        <sz val="8"/>
        <color rgb="FFC00000"/>
        <rFont val="Arial"/>
        <family val="2"/>
      </rPr>
      <t>Super</t>
    </r>
    <r>
      <rPr>
        <sz val="8"/>
        <color rgb="FF37404E"/>
        <rFont val="Arial"/>
        <family val="2"/>
      </rPr>
      <t xml:space="preserve"> Sr Citizen Rs. 80000 introduced</t>
    </r>
  </si>
  <si>
    <t>Additional  NPS u/s 80CCD(1B)  Rs. 50000….So Total Rs. 200,000</t>
  </si>
  <si>
    <t>Section 80CCD(2)</t>
  </si>
  <si>
    <t>Section 80CCD(IB)</t>
  </si>
  <si>
    <t>Section 80C / 80CCD (1)</t>
  </si>
  <si>
    <t>NEW PENSION SCHEME - 80CCD (1)</t>
  </si>
  <si>
    <t>SALARY / PENSION RECEIVED</t>
  </si>
  <si>
    <t>A S S E S S M E N T   Y E A R  :  2 0 1 6 - 1 7</t>
  </si>
  <si>
    <t>Presumptive Scheme 50 % of Gross Receipts  for Professionals (Receipts not exceeding Rs. 50 Lakhs) U/S 44ADA</t>
  </si>
  <si>
    <t xml:space="preserve">PASCHIM  VIHAR, NEW DELHI </t>
  </si>
  <si>
    <t>110063</t>
  </si>
  <si>
    <r>
      <t xml:space="preserve">4. Mediclaim 15000 to 25000 (Sr Citizen 20000 to 25000, </t>
    </r>
    <r>
      <rPr>
        <sz val="10"/>
        <color rgb="FFC00000"/>
        <rFont val="Arial"/>
        <family val="2"/>
      </rPr>
      <t>Super</t>
    </r>
    <r>
      <rPr>
        <sz val="10"/>
        <color rgb="FF37404E"/>
        <rFont val="Arial"/>
        <family val="2"/>
      </rPr>
      <t xml:space="preserve"> 30000) </t>
    </r>
  </si>
  <si>
    <r>
      <t xml:space="preserve">11. Section 80DDB; </t>
    </r>
    <r>
      <rPr>
        <sz val="10"/>
        <color rgb="FFC00000"/>
        <rFont val="Arial"/>
        <family val="2"/>
      </rPr>
      <t>Super</t>
    </r>
    <r>
      <rPr>
        <sz val="10"/>
        <color rgb="FF37404E"/>
        <rFont val="Arial"/>
        <family val="2"/>
      </rPr>
      <t xml:space="preserve"> Sr Citizen Rs. 80000 (Rs. 40000 and Rs. 60000 for Sr Citizen) </t>
    </r>
  </si>
  <si>
    <t>SEC 194-IA  (1 % TDS on purchase of  Prop&gt; Rs. 50 Lakhs wef 01-06-13)</t>
  </si>
  <si>
    <t>Fin Yr 2015-16</t>
  </si>
  <si>
    <t>SURCHARGE  (12 % if 1 Crore)</t>
  </si>
  <si>
    <r>
      <rPr>
        <b/>
        <sz val="8"/>
        <color rgb="FFC00000"/>
        <rFont val="Arial"/>
        <family val="2"/>
      </rPr>
      <t xml:space="preserve">Fin Year 2015-16: </t>
    </r>
    <r>
      <rPr>
        <sz val="8"/>
        <color rgb="FF37404E"/>
        <rFont val="Arial"/>
        <family val="2"/>
      </rPr>
      <t>Surcharge from 10 % to 12 % if income &gt; 1 Crore</t>
    </r>
  </si>
  <si>
    <t xml:space="preserve">Repairs </t>
  </si>
  <si>
    <t>H Loan Intt</t>
  </si>
  <si>
    <t xml:space="preserve">Name </t>
  </si>
  <si>
    <t>Dr (Mrs) NUTAN  JAIN</t>
  </si>
  <si>
    <t xml:space="preserve">PAN </t>
  </si>
  <si>
    <t>ADSPJ8742S</t>
  </si>
  <si>
    <t xml:space="preserve">Father's Name </t>
  </si>
  <si>
    <t>SALMAN GHANI HASHMI</t>
  </si>
  <si>
    <t xml:space="preserve">DOB </t>
  </si>
  <si>
    <t>Public Provident Fund</t>
  </si>
  <si>
    <t>Address</t>
  </si>
  <si>
    <t xml:space="preserve">25, Saakshara Apartments, A-3, </t>
  </si>
  <si>
    <t>Paschim Vihar, ND-110063</t>
  </si>
  <si>
    <t xml:space="preserve">Mobile </t>
  </si>
  <si>
    <t xml:space="preserve">House Tax Paid </t>
  </si>
  <si>
    <t xml:space="preserve">Email </t>
  </si>
  <si>
    <t>rathore_incometax @yahoo.co.in</t>
  </si>
  <si>
    <t xml:space="preserve">Aaadhaar / Passport </t>
  </si>
  <si>
    <t xml:space="preserve">Not Required </t>
  </si>
  <si>
    <t>999</t>
  </si>
  <si>
    <t>06 - 12 - 1984</t>
  </si>
  <si>
    <t>JAIN</t>
  </si>
  <si>
    <t>NUTAN</t>
  </si>
  <si>
    <t>HASHMI</t>
  </si>
  <si>
    <t xml:space="preserve">SALMAN </t>
  </si>
  <si>
    <t>GHANI</t>
  </si>
  <si>
    <t>ABLPJ1249L</t>
  </si>
  <si>
    <t xml:space="preserve">Ward 69(3) </t>
  </si>
  <si>
    <t>FEMALE</t>
  </si>
  <si>
    <t xml:space="preserve">25, SAAKSHARA APARTMENTS, A-3, </t>
  </si>
  <si>
    <t xml:space="preserve">NUTAN JAIN </t>
  </si>
  <si>
    <t>T. D. S. BY  HDFC BANK U/S 194A (Form No.16A)</t>
  </si>
  <si>
    <t xml:space="preserve">GIFT FROM FRIENDS </t>
  </si>
  <si>
    <t xml:space="preserve">T. D. S. BY MICROSOFT U/S 194I (Form 16A) </t>
  </si>
  <si>
    <t>RENT RECEIVED</t>
  </si>
  <si>
    <t xml:space="preserve">MAHARAJA AGRASEN COLLEGE </t>
  </si>
  <si>
    <t>110096</t>
  </si>
  <si>
    <t>VASUNDHARA ENCLAVE, DELHI</t>
  </si>
  <si>
    <t xml:space="preserve">INTT. ON FIXED DEPOSITS  (HDFC Bank) </t>
  </si>
  <si>
    <t xml:space="preserve">SAVING BANKs INTEREST </t>
  </si>
  <si>
    <t>Salary</t>
  </si>
  <si>
    <t>Intt</t>
  </si>
  <si>
    <t>Total</t>
  </si>
  <si>
    <t xml:space="preserve">TDS by Maharaja Agrasen College </t>
  </si>
  <si>
    <t>LIC Premium (Self 10000 + Dependent Father 30000)</t>
  </si>
  <si>
    <t xml:space="preserve">Gross Salary (incl TA @ Rs. 7000 pm) from MAC </t>
  </si>
  <si>
    <t xml:space="preserve">House Property (Rent Recived  @ 20000 pm) </t>
  </si>
  <si>
    <t>Intt on Housing Loan  (EMI 20000 wef 01-01-15)</t>
  </si>
  <si>
    <t>TDS by Microsoft (Tenant)</t>
  </si>
  <si>
    <t>TDS by HDFC Bank on FDR Intt of Rs.  150000</t>
  </si>
  <si>
    <t>Saving Banks  Interest</t>
  </si>
  <si>
    <t>Advance Tax paid in ICICI Bank on 14-09-15</t>
  </si>
  <si>
    <t>DR SB Rathore, Asociate Professor of Commerce, SLC # 9811116835</t>
  </si>
  <si>
    <t>ADD PERKS</t>
  </si>
  <si>
    <t>H Loan Interest</t>
  </si>
  <si>
    <t xml:space="preserve">SAVING BANK INTEREST </t>
  </si>
  <si>
    <t>NPS</t>
  </si>
  <si>
    <t>28000+14000</t>
  </si>
  <si>
    <t xml:space="preserve">ADD SURCHARGE </t>
  </si>
  <si>
    <t xml:space="preserve">T. D. S. BY THE EMPLOYER </t>
  </si>
  <si>
    <t xml:space="preserve">T. D. S. BY MICROSOFT U/S 194I </t>
  </si>
  <si>
    <t>SELF-ASSESSMENT TAX PAID  (30000 + 159990)</t>
  </si>
  <si>
    <t>Ground Floor</t>
  </si>
  <si>
    <t xml:space="preserve">First Floor </t>
  </si>
  <si>
    <t xml:space="preserve">HRA Taxable </t>
  </si>
  <si>
    <t xml:space="preserve">Less B/F </t>
  </si>
  <si>
    <t xml:space="preserve">INTEREST </t>
  </si>
  <si>
    <t xml:space="preserve">LOTTERY </t>
  </si>
  <si>
    <t xml:space="preserve">In-Laws </t>
  </si>
  <si>
    <t xml:space="preserve">Gross </t>
  </si>
  <si>
    <t xml:space="preserve">T. D. S. on Lottery </t>
  </si>
  <si>
    <t xml:space="preserve">ANNUAL VALUE </t>
  </si>
  <si>
    <t xml:space="preserve">SALARY </t>
  </si>
  <si>
    <t xml:space="preserve">INTT. ON FIXED DEPOSITS  </t>
  </si>
  <si>
    <t>Gross</t>
  </si>
  <si>
    <t xml:space="preserve">INTT. ON REC BONDS </t>
  </si>
  <si>
    <t>ONLY CHEQUE</t>
  </si>
  <si>
    <t>Sr Citizen</t>
  </si>
  <si>
    <t>SELF-ASSESSMENT TAX PAID  (330000 + 46720)</t>
  </si>
  <si>
    <t>HRA Taxable</t>
  </si>
  <si>
    <t>ENTERTAINMENT Allowance</t>
  </si>
  <si>
    <t>Perks</t>
  </si>
  <si>
    <t>PROFITS IN LIEU OF SALARY</t>
  </si>
  <si>
    <t xml:space="preserve">INTT. ON FIXED DEPOSITS </t>
  </si>
  <si>
    <t xml:space="preserve">RECOGNISED  PROV FUND </t>
  </si>
  <si>
    <t>SUKANYA SAMRIDHI A/C</t>
  </si>
  <si>
    <t>T. D. S. BY   BANK</t>
  </si>
  <si>
    <t xml:space="preserve">T. D. S. BY THE EMPLOYER  </t>
  </si>
  <si>
    <t>SELF-ASSESSMENT TAX PAID  (90000 + 391020)</t>
  </si>
  <si>
    <t>11000 + 53000</t>
  </si>
  <si>
    <t>Travelling Allowance Taxable</t>
  </si>
  <si>
    <t>Let Out</t>
  </si>
  <si>
    <t>SOP</t>
  </si>
  <si>
    <t>SAVING BANKS INTT</t>
  </si>
  <si>
    <t xml:space="preserve">GIFT FROM MAMA JI  </t>
  </si>
  <si>
    <t>GIFT FROM COLLEAGUE</t>
  </si>
  <si>
    <t xml:space="preserve">INTT ON DEPOSITS </t>
  </si>
  <si>
    <t>ACC INTT ON NSCs</t>
  </si>
  <si>
    <t xml:space="preserve">T. D. S. BY  Tenant </t>
  </si>
  <si>
    <t xml:space="preserve">SELF-ASSESSMENT TAX PAID </t>
  </si>
  <si>
    <t>Add  10000</t>
  </si>
  <si>
    <t>Perks (Gas + Loan)</t>
  </si>
  <si>
    <t>Sale</t>
  </si>
  <si>
    <t xml:space="preserve">Brokerage </t>
  </si>
  <si>
    <t xml:space="preserve">Acq Cost </t>
  </si>
  <si>
    <t xml:space="preserve">Improvement </t>
  </si>
  <si>
    <t>LTCG</t>
  </si>
  <si>
    <t xml:space="preserve">INTT ON FIXED DEPOSITS </t>
  </si>
  <si>
    <t>GIFT FROM FRIEND</t>
  </si>
  <si>
    <t>ADD : SURCHARGE 12%</t>
  </si>
  <si>
    <t xml:space="preserve">COMMISSION </t>
  </si>
  <si>
    <t xml:space="preserve">RENT FRE  HOUSE </t>
  </si>
  <si>
    <t>SERVANT ALLOWANCE</t>
  </si>
  <si>
    <t>Grandfather's Brother</t>
  </si>
  <si>
    <t>GIFT</t>
  </si>
  <si>
    <t>NRI</t>
  </si>
  <si>
    <t>DIVIDEND FROM FOREIGN CO</t>
  </si>
  <si>
    <t>Gold</t>
  </si>
  <si>
    <t>Net Sales</t>
  </si>
  <si>
    <t>Shares</t>
  </si>
  <si>
    <t>Diamond</t>
  </si>
  <si>
    <t>Exempted</t>
  </si>
  <si>
    <t>LIC</t>
  </si>
  <si>
    <t>Section 80E</t>
  </si>
  <si>
    <t xml:space="preserve">REC not allowed </t>
  </si>
  <si>
    <t>MINOR SON  (Less 1500)</t>
  </si>
  <si>
    <t>SELF-ASSESSMENT TAX PAID  (14000  + 1953244 )</t>
  </si>
  <si>
    <t xml:space="preserve">Pref Shares </t>
  </si>
  <si>
    <t>NHAI</t>
  </si>
  <si>
    <t xml:space="preserve">LONG TERM CAPITAL GAIN (Without Index) </t>
  </si>
  <si>
    <t>father-in-law</t>
  </si>
  <si>
    <t xml:space="preserve">INTT ON LOAN </t>
  </si>
  <si>
    <t>Grand Son</t>
  </si>
  <si>
    <t>SELF-ASSESSMENT TAX PAID  (14800 + 40050)</t>
  </si>
  <si>
    <t xml:space="preserve">has been  deducted </t>
  </si>
  <si>
    <t>90000 - 10000</t>
  </si>
  <si>
    <t>SELF-ASSESSMENT TAX PAID  (36000  + 382123)</t>
  </si>
  <si>
    <t>Set off  b/f Losses</t>
  </si>
  <si>
    <t>REC Bonds</t>
  </si>
  <si>
    <t>1081/463</t>
  </si>
  <si>
    <t>115000*</t>
  </si>
  <si>
    <t>12000*</t>
  </si>
  <si>
    <t>1081/591</t>
  </si>
  <si>
    <t>T. D. S. BY  TENANT</t>
  </si>
  <si>
    <t xml:space="preserve">T. D. S. BY BANK </t>
  </si>
  <si>
    <t>Add Arrears Received (9000 - 30%)</t>
  </si>
  <si>
    <t xml:space="preserve">SALARY Received </t>
  </si>
  <si>
    <t>Tiffin Allowance</t>
  </si>
  <si>
    <t>HRA (Rent Paid 498000)  Rece Rs. 40000 - Exempt 38000</t>
  </si>
  <si>
    <t xml:space="preserve">LESS : LOCAL TAXES PAID by ASSESSEE </t>
  </si>
  <si>
    <t xml:space="preserve">TAX PAYABLE </t>
  </si>
  <si>
    <t xml:space="preserve">GROSS TAX LIABILITY </t>
  </si>
  <si>
    <t>ADD : EDUCATION CESS (2 % Rs. 3223510)</t>
  </si>
  <si>
    <t>ADD : EDUCATION CESS (1 % Rs. 3223510)</t>
  </si>
  <si>
    <t>S B INTT</t>
  </si>
  <si>
    <t>GIFT FROM GRAND MOTHER'S ELDER SISTER</t>
  </si>
  <si>
    <t>Section 80CCD (1B)</t>
  </si>
  <si>
    <t>By Tenant</t>
  </si>
  <si>
    <t xml:space="preserve">T. D. S. BY Tenant  </t>
  </si>
  <si>
    <t>SELF-ASSESSMENT TAX PAID</t>
  </si>
  <si>
    <t xml:space="preserve">10 % of Rent Amount </t>
  </si>
  <si>
    <t>5(i) Stock</t>
  </si>
  <si>
    <t>6 Purchases</t>
  </si>
  <si>
    <t>14(i) Salaries</t>
  </si>
  <si>
    <t>11 Rent</t>
  </si>
  <si>
    <t>21 Advt</t>
  </si>
  <si>
    <t>38 Other Expenses</t>
  </si>
  <si>
    <t>44 (i) Dep</t>
  </si>
  <si>
    <t>1A (I) Sales</t>
  </si>
  <si>
    <t>45 NET PROFIT</t>
  </si>
  <si>
    <t>Part A - PROFIT AND LOSS AIC</t>
  </si>
  <si>
    <t xml:space="preserve">Part A - Other Information </t>
  </si>
  <si>
    <t>7(b) Personal Nature</t>
  </si>
  <si>
    <t>9 Exps debited to P &amp; L A/c Disallowable u/s 40A</t>
  </si>
  <si>
    <t>9(b) Excceding 20000</t>
  </si>
  <si>
    <t>(Given that salary Paid to Manager in cash on 01-02-16)</t>
  </si>
  <si>
    <t xml:space="preserve">Schedule BP </t>
  </si>
  <si>
    <t>A 1 Profit from P &amp; L A/c</t>
  </si>
  <si>
    <t>11 Dep Debited to P &amp; L</t>
  </si>
  <si>
    <t xml:space="preserve">12 Dep Allowable </t>
  </si>
  <si>
    <t>60% (1/2)</t>
  </si>
  <si>
    <t>10% (1/2)</t>
  </si>
  <si>
    <t xml:space="preserve">) </t>
  </si>
  <si>
    <t>15 amount OI (7) Sec 37</t>
  </si>
  <si>
    <t>34  Income</t>
  </si>
  <si>
    <t xml:space="preserve">Schedule-Depreciation </t>
  </si>
  <si>
    <t xml:space="preserve">Part A - Balance Sheet </t>
  </si>
  <si>
    <t>Sources of Funds</t>
  </si>
  <si>
    <t xml:space="preserve">1 (a) Capital </t>
  </si>
  <si>
    <t>Application  of Funds</t>
  </si>
  <si>
    <t>3 (d) (i) A Creditors</t>
  </si>
  <si>
    <t xml:space="preserve">1 a Gross Block </t>
  </si>
  <si>
    <t>1 b Dep</t>
  </si>
  <si>
    <t xml:space="preserve">2 (a) (i) Investment </t>
  </si>
  <si>
    <t>3 (a) (ii) Drs</t>
  </si>
  <si>
    <t>3 (a) (iii) A Cash</t>
  </si>
  <si>
    <t xml:space="preserve">3 (a) (iii) B Bank </t>
  </si>
  <si>
    <t xml:space="preserve">3 Current Assets </t>
  </si>
  <si>
    <t>Computer  (01-03-2016)</t>
  </si>
  <si>
    <t>Furniture  (01-04-2015)</t>
  </si>
  <si>
    <t>Furniture  (10-10-2015)</t>
  </si>
  <si>
    <t xml:space="preserve">INCOME AS PER SCHEDULE </t>
  </si>
  <si>
    <t>List of Teachers attended FDP of E-Filing of Returns on 15-01-17</t>
  </si>
  <si>
    <t>S.No</t>
  </si>
  <si>
    <t>College</t>
  </si>
  <si>
    <t xml:space="preserve">Mobile No. </t>
  </si>
  <si>
    <t>Jamaluddeen</t>
  </si>
  <si>
    <t>Acharya Narendra Dev College</t>
  </si>
  <si>
    <t>Yask Sain</t>
  </si>
  <si>
    <t>Dr.Madhu Bala</t>
  </si>
  <si>
    <t xml:space="preserve">Bhagini Nivedita College </t>
  </si>
  <si>
    <t>Roopa Johri</t>
  </si>
  <si>
    <t xml:space="preserve">Bharti College </t>
  </si>
  <si>
    <t>Dr. Nishi Sharma</t>
  </si>
  <si>
    <t xml:space="preserve">Bhim Rao Ambedkar College </t>
  </si>
  <si>
    <t>Sakshi</t>
  </si>
  <si>
    <t>Dr. Minakshi Paliwal</t>
  </si>
  <si>
    <t>Daulat Ram College</t>
  </si>
  <si>
    <t>Sunil Kumar</t>
  </si>
  <si>
    <t>Deen Dayal Upadhaya College</t>
  </si>
  <si>
    <t>Mohd Kashif Ansari</t>
  </si>
  <si>
    <t>Hans Raj College</t>
  </si>
  <si>
    <t>Sonal Jain</t>
  </si>
  <si>
    <t>Janki Devi Memorial College</t>
  </si>
  <si>
    <t>Punam Sachdeva</t>
  </si>
  <si>
    <t>Kalindi College</t>
  </si>
  <si>
    <t>Monu Chauhan</t>
  </si>
  <si>
    <t xml:space="preserve">Keshav Mahavidyalya </t>
  </si>
  <si>
    <t xml:space="preserve">Namita </t>
  </si>
  <si>
    <t>Krishan Kant</t>
  </si>
  <si>
    <t>Lakshmibai College</t>
  </si>
  <si>
    <t>Dr. Nirmal Jain</t>
  </si>
  <si>
    <t>Maharaja Agrasen College</t>
  </si>
  <si>
    <t>Sonam Bhati</t>
  </si>
  <si>
    <t>Monika Saini</t>
  </si>
  <si>
    <t>PGDAV College (Day)</t>
  </si>
  <si>
    <t>Panna Lal</t>
  </si>
  <si>
    <t>PGDAV College (Eve)</t>
  </si>
  <si>
    <t>Charu Jain</t>
  </si>
  <si>
    <t xml:space="preserve">Ramanujan College </t>
  </si>
  <si>
    <t>Sandeep Sehrawat</t>
  </si>
  <si>
    <t xml:space="preserve">Satyawati College (Eve) </t>
  </si>
  <si>
    <t>Rajesh Raj</t>
  </si>
  <si>
    <t xml:space="preserve">Shivaji College </t>
  </si>
  <si>
    <t>Urvashi Sahitya</t>
  </si>
  <si>
    <t>Dr. S B Rathore</t>
  </si>
  <si>
    <t xml:space="preserve">Shyam Lal College (Day) </t>
  </si>
  <si>
    <t>Mohd Sajid</t>
  </si>
  <si>
    <t>Isha Nasa</t>
  </si>
  <si>
    <t>Shyama Prasad Mukherji College</t>
  </si>
  <si>
    <t>Priyanka</t>
  </si>
  <si>
    <t>Abhay Kumar Gupta</t>
  </si>
  <si>
    <t>Sri Aurobindo College</t>
  </si>
  <si>
    <t>Bunny Singh Bhatia</t>
  </si>
  <si>
    <t>Baldev Singh</t>
  </si>
  <si>
    <t>Sri Guru Gobind Singh College</t>
  </si>
  <si>
    <t>Dr. Bhupinder Kaur</t>
  </si>
  <si>
    <t>Dr. Satvinder</t>
  </si>
  <si>
    <t>Rasleen Kaur</t>
  </si>
  <si>
    <t>Dr. G.K. Arora</t>
  </si>
  <si>
    <t>Sri Guru Nanak Dev Khalsa College</t>
  </si>
  <si>
    <t>Dr. Sushma Aggarwal</t>
  </si>
  <si>
    <t xml:space="preserve">Vivekananda College </t>
  </si>
  <si>
    <t>Manisha Luthra</t>
  </si>
  <si>
    <t>Pooja Sharma</t>
  </si>
  <si>
    <t>Vaishali</t>
  </si>
  <si>
    <t>15-01-17 Compiled by Dr SB Rathore, Shyam Lal College # 9811116835;  rathore_incometax@yahoo.co.in</t>
  </si>
  <si>
    <t>Dr. Rashi Gupta</t>
  </si>
  <si>
    <t>JIMS</t>
  </si>
  <si>
    <t>Dr. Himani Gupta</t>
  </si>
  <si>
    <t>7 Exps debited to P &amp; L A/c Disallowable u/s 37</t>
  </si>
  <si>
    <t>7.  41000</t>
  </si>
  <si>
    <t>3.  140000</t>
  </si>
  <si>
    <t>Computer - 60%</t>
  </si>
  <si>
    <t>7.   12500</t>
  </si>
  <si>
    <t xml:space="preserve">Schedule-DPM (Dep on P &amp; M) </t>
  </si>
  <si>
    <t>Schedule-DOA (Dep on Other Assets)</t>
  </si>
  <si>
    <t>Furniture 10%</t>
  </si>
  <si>
    <t>17 amount OI (9) Sec 40A</t>
  </si>
  <si>
    <t xml:space="preserve">3 (a) (i)D  Stock </t>
  </si>
  <si>
    <t>3(iii) Stock</t>
  </si>
  <si>
    <t xml:space="preserve">Nil </t>
  </si>
  <si>
    <t>Excise duty received/receivable in respect of goods sold</t>
  </si>
  <si>
    <t>Purchases(net of taxes)</t>
  </si>
  <si>
    <t>VAT/CST in respect of goods sold</t>
  </si>
  <si>
    <t>Excise duty on goods purchased</t>
  </si>
  <si>
    <t>VAT in respects of goods purchased</t>
  </si>
  <si>
    <t>Rent of office,godown and factory</t>
  </si>
  <si>
    <t>General insurance</t>
  </si>
  <si>
    <t>Hotel expenses</t>
  </si>
  <si>
    <t>Deepawali expenses</t>
  </si>
  <si>
    <t>Audit fees</t>
  </si>
  <si>
    <t>1(a)</t>
  </si>
  <si>
    <t>3(a)(i)(D)</t>
  </si>
  <si>
    <t>3(d)(i)(A)</t>
  </si>
  <si>
    <t>3(a)(ii)</t>
  </si>
  <si>
    <t>2(a)(i)</t>
  </si>
  <si>
    <t>Investment in tax-free bonds/secs</t>
  </si>
  <si>
    <t>3(a)(iii)(B)</t>
  </si>
  <si>
    <t>3(a)(iii)(A)</t>
  </si>
  <si>
    <t>Particulars</t>
  </si>
  <si>
    <t>Sch-OI</t>
  </si>
  <si>
    <t xml:space="preserve">Section </t>
  </si>
  <si>
    <t xml:space="preserve">Sch-BP </t>
  </si>
  <si>
    <t>I</t>
  </si>
  <si>
    <t xml:space="preserve">Other Exp-Unapproved Gratuity </t>
  </si>
  <si>
    <t>9C</t>
  </si>
  <si>
    <t xml:space="preserve">40(A) (7) </t>
  </si>
  <si>
    <t>Other Exp-Personal Exp</t>
  </si>
  <si>
    <t xml:space="preserve">7(b) </t>
  </si>
  <si>
    <t xml:space="preserve">Other Exp-Traffic Fines </t>
  </si>
  <si>
    <t xml:space="preserve">7(f) </t>
  </si>
  <si>
    <t xml:space="preserve">Other Exp-Income tax </t>
  </si>
  <si>
    <t>8A(b)</t>
  </si>
  <si>
    <t>Salary to Relative</t>
  </si>
  <si>
    <t xml:space="preserve">9(a) </t>
  </si>
  <si>
    <t>40 A (2) (b)</t>
  </si>
  <si>
    <t>9(b)</t>
  </si>
  <si>
    <t>40A (3)</t>
  </si>
  <si>
    <t xml:space="preserve">Tax paid of Previous Year (s) </t>
  </si>
  <si>
    <t xml:space="preserve">43B  (To be added) </t>
  </si>
  <si>
    <t xml:space="preserve">Taxes  due but not paid </t>
  </si>
  <si>
    <t xml:space="preserve">43B  </t>
  </si>
  <si>
    <t>Part A   BALANCE SHEET</t>
  </si>
  <si>
    <t>8A</t>
  </si>
  <si>
    <t>Schedules:  Other Information to BP (Auto)</t>
  </si>
  <si>
    <t xml:space="preserve">Section 36: Disallowed on a/c of non-fulfillment of Conditions..PF/ DDebts </t>
  </si>
  <si>
    <t xml:space="preserve">(   ) Amount u/s 40 disallowed in prev year, now allowable </t>
  </si>
  <si>
    <t xml:space="preserve">(  ) Section 43B:  Tax now paid of Prev years / PF / Leave </t>
  </si>
  <si>
    <t>Section 43B: Disallowed Tax due not paid / PF</t>
  </si>
  <si>
    <t>2015-16</t>
  </si>
  <si>
    <t xml:space="preserve">Org Cost </t>
  </si>
  <si>
    <t>FF</t>
  </si>
  <si>
    <t>SF</t>
  </si>
  <si>
    <t>2014-15</t>
  </si>
  <si>
    <t>Section 80GGC</t>
  </si>
  <si>
    <t>TENANT</t>
  </si>
  <si>
    <t>ADVANCE TAX PAID</t>
  </si>
  <si>
    <t xml:space="preserve">EXP ADDED </t>
  </si>
  <si>
    <t xml:space="preserve">EXP ALLOWED </t>
  </si>
  <si>
    <t>DEP  DIFF</t>
  </si>
  <si>
    <t>INCOME (P &amp; L)</t>
  </si>
  <si>
    <t>SPECIAL  INCOME</t>
  </si>
  <si>
    <t xml:space="preserve">Donation </t>
  </si>
  <si>
    <t xml:space="preserve">S No. </t>
  </si>
  <si>
    <t>E-Mail</t>
  </si>
  <si>
    <t xml:space="preserve">Teaching E-Filing </t>
  </si>
  <si>
    <t>Signature</t>
  </si>
  <si>
    <t>SLC-Faculty Development Programme on e-Filing of Returns on Monday, 06-02-2017</t>
  </si>
  <si>
    <t>Closing Stock (Raw Material)</t>
  </si>
  <si>
    <t>Closing Stock (Finished Goods)</t>
  </si>
  <si>
    <t xml:space="preserve">First 300000..90 % </t>
  </si>
  <si>
    <t>Balance .60%</t>
  </si>
  <si>
    <t>Book Proft for Sec 40(b)</t>
  </si>
  <si>
    <t>Partners' Remuneration u/s 40(b)</t>
  </si>
  <si>
    <t>Allowed / Paid whichever is Lesser</t>
  </si>
  <si>
    <t>Not-Deductible amount</t>
  </si>
  <si>
    <t xml:space="preserve">ADD Surcharge </t>
  </si>
  <si>
    <t xml:space="preserve">if income exceeds 1 Crore </t>
  </si>
  <si>
    <t xml:space="preserve">Book Profit before Remuneration </t>
  </si>
  <si>
    <t>Less Remeneration Allowed</t>
  </si>
  <si>
    <t>Income under Head 'BP'</t>
  </si>
  <si>
    <t>Adjusted Profit</t>
  </si>
  <si>
    <t xml:space="preserve">Income Tax Refund in Gross Receipts </t>
  </si>
  <si>
    <t>No TDS in respect of Rent (12000) &amp; Professional Fees (12000)</t>
  </si>
  <si>
    <t xml:space="preserve">Building Repairs Rs. 4000 paid in Cash </t>
  </si>
  <si>
    <t xml:space="preserve">Other Exp include 40000 in Cash </t>
  </si>
  <si>
    <t>Other exps: Excess Payment made to Partner's Brother by Rs. 3000</t>
  </si>
  <si>
    <t>Donation to poor Student in Other Exps</t>
  </si>
  <si>
    <t>Donation to PM Relief Fund in Other Exps</t>
  </si>
  <si>
    <t>Excess Payment made to Relative</t>
  </si>
  <si>
    <t>PM</t>
  </si>
  <si>
    <t>WDV as on 01-04-2015</t>
  </si>
  <si>
    <t>Additions (180 or More days)</t>
  </si>
  <si>
    <t>Sale Proceeds (Oct-Mar 2016)</t>
  </si>
  <si>
    <t xml:space="preserve">Dep </t>
  </si>
  <si>
    <t xml:space="preserve">Computer </t>
  </si>
  <si>
    <t xml:space="preserve">income Tax Refund </t>
  </si>
  <si>
    <t>Dep Diff</t>
  </si>
  <si>
    <t>Exps Disallowed</t>
  </si>
  <si>
    <t>BP-5c</t>
  </si>
  <si>
    <t>NA</t>
  </si>
  <si>
    <t>OI-9b</t>
  </si>
  <si>
    <t>OI-9a</t>
  </si>
  <si>
    <t>OI-7c</t>
  </si>
  <si>
    <t xml:space="preserve">BP-11 Auto </t>
  </si>
  <si>
    <t xml:space="preserve">BP-12(i)Auto </t>
  </si>
  <si>
    <r>
      <t xml:space="preserve">Depreciation   </t>
    </r>
    <r>
      <rPr>
        <sz val="10"/>
        <color rgb="FFFF0000"/>
        <rFont val="Arial"/>
        <family val="2"/>
      </rPr>
      <t xml:space="preserve"> P &amp; L A/c .. 45(i)</t>
    </r>
  </si>
  <si>
    <r>
      <t xml:space="preserve">Dep as per Income tax Act  </t>
    </r>
    <r>
      <rPr>
        <sz val="10"/>
        <color rgb="FFFF0000"/>
        <rFont val="Arial"/>
        <family val="2"/>
      </rPr>
      <t>Schedule-DEP &amp; DOA</t>
    </r>
  </si>
  <si>
    <t>Prime Minister's Office,</t>
  </si>
  <si>
    <t>South Block,</t>
  </si>
  <si>
    <t>Raisina Hill</t>
  </si>
  <si>
    <t>All donations to PMNRF are 100% tax exempted through 80G</t>
  </si>
  <si>
    <t>New Delhi-110011</t>
  </si>
  <si>
    <t>AACTP4637Q</t>
  </si>
  <si>
    <t>Prime Minister's National Relief Fund</t>
  </si>
  <si>
    <t>(PM National Relief Fund)</t>
  </si>
  <si>
    <t xml:space="preserve">Donation to PM Relief Fund included in Other Expenditure </t>
  </si>
  <si>
    <t xml:space="preserve">Donation to Poor Students included in Other Expenditure </t>
  </si>
  <si>
    <t>Gift rece by a Partner in Personal Capacity, not included in P &amp; L A/c</t>
  </si>
  <si>
    <t xml:space="preserve">Schedule: Other Informations (OI) </t>
  </si>
  <si>
    <t>Partners' Remuneration Paid</t>
  </si>
  <si>
    <t xml:space="preserve">Net Profit as per Question before Modification </t>
  </si>
  <si>
    <t>Remuneration Disallowed 40(b)</t>
  </si>
  <si>
    <t xml:space="preserve">Partners' Remuneration @ Rs 50000 per month / per partner </t>
  </si>
  <si>
    <t>Net Profit after  Modification  (647400 - Add Salary 1128000)</t>
  </si>
  <si>
    <r>
      <t xml:space="preserve">Net Profit as per P &amp; L A/c </t>
    </r>
    <r>
      <rPr>
        <sz val="10"/>
        <color rgb="FFFF0000"/>
        <rFont val="Arial"/>
        <family val="2"/>
      </rPr>
      <t>(647400+72000-1200000)</t>
    </r>
  </si>
  <si>
    <t>Case Study-20  Edited  (A Y 2016-17) Jatin Losers</t>
  </si>
  <si>
    <t>Loss</t>
  </si>
  <si>
    <t>Losses Carried Forward to Next AY 2017-18</t>
  </si>
  <si>
    <t>Opening Stock (Raw Material)</t>
  </si>
  <si>
    <t>Conference (for staff and dealers)</t>
  </si>
  <si>
    <t>LESS LOACAL TAXES PAID</t>
  </si>
  <si>
    <r>
      <t xml:space="preserve">SALARIES </t>
    </r>
    <r>
      <rPr>
        <sz val="9"/>
        <color theme="1"/>
        <rFont val="Arial"/>
        <family val="2"/>
      </rPr>
      <t>U/S 15-17</t>
    </r>
  </si>
  <si>
    <r>
      <t xml:space="preserve">HOUSE PROPERTY </t>
    </r>
    <r>
      <rPr>
        <sz val="9"/>
        <color theme="1"/>
        <rFont val="Arial"/>
        <family val="2"/>
      </rPr>
      <t>U/S 22-27</t>
    </r>
  </si>
  <si>
    <r>
      <t xml:space="preserve">OTHER SOURCES </t>
    </r>
    <r>
      <rPr>
        <sz val="9"/>
        <color theme="1"/>
        <rFont val="Arial"/>
        <family val="2"/>
      </rPr>
      <t>U/S 56-59</t>
    </r>
  </si>
  <si>
    <r>
      <t xml:space="preserve">LESS: DEDUCTIONS UNDER CHAPTER VI-A </t>
    </r>
    <r>
      <rPr>
        <sz val="9"/>
        <color theme="1"/>
        <rFont val="Arial"/>
        <family val="2"/>
      </rPr>
      <t>U/S 80</t>
    </r>
  </si>
  <si>
    <t>GIFT FROM GRAND FATHER</t>
  </si>
  <si>
    <t>A S S E S S M E N T   Y E A R  :  2 0 1 7 - 1 8</t>
  </si>
  <si>
    <t xml:space="preserve">Section 80C </t>
  </si>
  <si>
    <t>Section 80C</t>
  </si>
  <si>
    <t xml:space="preserve">ITR Filed </t>
  </si>
  <si>
    <t xml:space="preserve">       7(b) Personal Nature</t>
  </si>
  <si>
    <t>Std Ded 30%</t>
  </si>
  <si>
    <r>
      <t xml:space="preserve"> </t>
    </r>
    <r>
      <rPr>
        <b/>
        <sz val="8"/>
        <color rgb="FF7030A0"/>
        <rFont val="Arial"/>
        <family val="2"/>
      </rPr>
      <t>Dr S.B. Rathore,</t>
    </r>
    <r>
      <rPr>
        <b/>
        <sz val="8"/>
        <rFont val="Arial"/>
        <family val="2"/>
      </rPr>
      <t xml:space="preserve"> Associate Professor of Commerce, Shyam Lal College  </t>
    </r>
    <r>
      <rPr>
        <b/>
        <sz val="8"/>
        <color rgb="FF7030A0"/>
        <rFont val="Arial"/>
        <family val="2"/>
      </rPr>
      <t># 9811116835</t>
    </r>
  </si>
  <si>
    <t>8A Amount debited to P &amp; L A/c disallowable u/s 40</t>
  </si>
  <si>
    <t>Opening Stock (Finished Goods)</t>
  </si>
  <si>
    <t>Repair (Building)</t>
  </si>
  <si>
    <t>Repair (Machinery)</t>
  </si>
  <si>
    <t>Salary to employees</t>
  </si>
  <si>
    <t>Staff Welfare</t>
  </si>
  <si>
    <t>Sales Promotion Expenses</t>
  </si>
  <si>
    <t>Newspaper/ Magazine/ internet/ Advt</t>
  </si>
  <si>
    <t>Technical Fees</t>
  </si>
  <si>
    <t>Foreign Travel</t>
  </si>
  <si>
    <t>Domestic Travel</t>
  </si>
  <si>
    <t>Conveyance Expenditure</t>
  </si>
  <si>
    <t>Telephone/ internet</t>
  </si>
  <si>
    <t>Taxes/ Duties paid or payable</t>
  </si>
  <si>
    <t>Gift to Distributors</t>
  </si>
  <si>
    <r>
      <rPr>
        <sz val="12"/>
        <color rgb="FFC00000"/>
        <rFont val="Arial"/>
        <family val="2"/>
      </rPr>
      <t>Additional Dep</t>
    </r>
    <r>
      <rPr>
        <sz val="12"/>
        <color rgb="FFFF0000"/>
        <rFont val="Arial"/>
        <family val="2"/>
      </rPr>
      <t xml:space="preserve"> </t>
    </r>
    <r>
      <rPr>
        <sz val="12"/>
        <rFont val="Arial"/>
        <family val="2"/>
      </rPr>
      <t xml:space="preserve">(180 or more days) </t>
    </r>
  </si>
  <si>
    <t xml:space="preserve">Fin Year </t>
  </si>
  <si>
    <t>2001-02</t>
  </si>
  <si>
    <t>2002-03</t>
  </si>
  <si>
    <t>2003-04</t>
  </si>
  <si>
    <t>2004-05</t>
  </si>
  <si>
    <t>2005-06</t>
  </si>
  <si>
    <t>2006-07</t>
  </si>
  <si>
    <t>2007-08</t>
  </si>
  <si>
    <t>2008-09</t>
  </si>
  <si>
    <t>2009-10</t>
  </si>
  <si>
    <t>2010-11</t>
  </si>
  <si>
    <t>2011-12</t>
  </si>
  <si>
    <t>2012-13</t>
  </si>
  <si>
    <t>2013-14</t>
  </si>
  <si>
    <t>2017-18</t>
  </si>
  <si>
    <t xml:space="preserve">Expenses </t>
  </si>
  <si>
    <t>Gold Sold</t>
  </si>
  <si>
    <t>Cap Gain A/c</t>
  </si>
  <si>
    <t>NHAI Bonds</t>
  </si>
  <si>
    <t xml:space="preserve">GIFT FROM NON-RELATIVE </t>
  </si>
  <si>
    <t>800000 - 600000</t>
  </si>
  <si>
    <t>Spouse</t>
  </si>
  <si>
    <t>Revised</t>
  </si>
  <si>
    <t>Sold</t>
  </si>
  <si>
    <t xml:space="preserve">Intt on Housing Loan </t>
  </si>
  <si>
    <t xml:space="preserve">Normal Income </t>
  </si>
  <si>
    <t xml:space="preserve">Section 37: Disallowed..Capital Nature / Personal / Contingent </t>
  </si>
  <si>
    <t>Section 40: Disallowed…40 (a) (ia) TDS Default; 40 (b) Remuneration / Intt</t>
  </si>
  <si>
    <t xml:space="preserve">NORMAL </t>
  </si>
  <si>
    <t xml:space="preserve">SPECIAL </t>
  </si>
  <si>
    <r>
      <t xml:space="preserve">ADD : SURCHARGE  </t>
    </r>
    <r>
      <rPr>
        <sz val="8"/>
        <rFont val="Arial"/>
        <family val="2"/>
      </rPr>
      <t xml:space="preserve">(10 % exceeding 50 Lakhs;  15% exceeding  100 Lakhs) </t>
    </r>
  </si>
  <si>
    <t>2018-19</t>
  </si>
  <si>
    <t xml:space="preserve">CIF </t>
  </si>
  <si>
    <t>Section 80CCD (1)</t>
  </si>
  <si>
    <t>28000 + 8000</t>
  </si>
  <si>
    <t>FMV as on 01-04-2001</t>
  </si>
  <si>
    <t>House</t>
  </si>
  <si>
    <t>Exps</t>
  </si>
  <si>
    <t xml:space="preserve">Indexed Acq </t>
  </si>
  <si>
    <t>Indexed Improve</t>
  </si>
  <si>
    <t>NORMAL</t>
  </si>
  <si>
    <t>Due Date-Audit</t>
  </si>
  <si>
    <t>Section 40A: disallowed..40 A(2)b  excess paid to relative; 40A (3) more than 10000 in cash</t>
  </si>
  <si>
    <t xml:space="preserve">       9(b) Excceding 10000</t>
  </si>
  <si>
    <t xml:space="preserve">Schedule AL </t>
  </si>
  <si>
    <t>Not Required</t>
  </si>
  <si>
    <t xml:space="preserve">      8A (e)  Income tax </t>
  </si>
  <si>
    <t xml:space="preserve">12(i) Dep Allowable </t>
  </si>
  <si>
    <t xml:space="preserve">Auto from P &amp; L </t>
  </si>
  <si>
    <t xml:space="preserve">Auto from OI </t>
  </si>
  <si>
    <t>&gt; 2 Crores</t>
  </si>
  <si>
    <t>35  Income</t>
  </si>
  <si>
    <t>Required</t>
  </si>
  <si>
    <t>Sec 44AB  Audit Required</t>
  </si>
  <si>
    <t xml:space="preserve">Auto Calculated </t>
  </si>
  <si>
    <t xml:space="preserve">8A(e) </t>
  </si>
  <si>
    <t>Capital account of Punit S.Madan</t>
  </si>
  <si>
    <t>Advt-Cash Payment &gt; 10000</t>
  </si>
  <si>
    <t>Cash Balance</t>
  </si>
  <si>
    <t>Depreciable Assets</t>
  </si>
  <si>
    <t>Gross Turnover</t>
  </si>
  <si>
    <t>40% (1/2)</t>
  </si>
  <si>
    <t>Computer - 40%</t>
  </si>
  <si>
    <t>Sec 44AB   Audit Required</t>
  </si>
  <si>
    <t xml:space="preserve">Less than 6% / 8% </t>
  </si>
  <si>
    <t>A/c Payee</t>
  </si>
  <si>
    <t>NEFT</t>
  </si>
  <si>
    <t>FIN. YEAR  2018-19   (Assessment Year 2019-20)</t>
  </si>
  <si>
    <t xml:space="preserve">Basic Pay </t>
  </si>
  <si>
    <t>House Rent Allowance</t>
  </si>
  <si>
    <t>Transport Allowance</t>
  </si>
  <si>
    <t xml:space="preserve">Less Std Deduction </t>
  </si>
  <si>
    <t>FEES</t>
  </si>
  <si>
    <t>HONORARIUM</t>
  </si>
  <si>
    <t>GPF</t>
  </si>
  <si>
    <t>CGEGIS</t>
  </si>
  <si>
    <t>LIP</t>
  </si>
  <si>
    <t xml:space="preserve">REPAYMENT OF HOUSING LOAN (Principal) </t>
  </si>
  <si>
    <t>Self-occupied</t>
  </si>
  <si>
    <t xml:space="preserve">Intt on Housing  Loan </t>
  </si>
  <si>
    <t>ADD : EDUCATION CESS (3 % ON TAX PAYABLE)</t>
  </si>
  <si>
    <t>ADD : HEALTH CESS (1 % ON TAX PAYABLE)</t>
  </si>
  <si>
    <t xml:space="preserve">LESS: Standard Deduction u/s 16(i) </t>
  </si>
  <si>
    <t>Rounding Off</t>
  </si>
  <si>
    <t xml:space="preserve">Rounding Off </t>
  </si>
  <si>
    <t>Dearness Allowance</t>
  </si>
  <si>
    <r>
      <t xml:space="preserve">LESS : REBATE  </t>
    </r>
    <r>
      <rPr>
        <sz val="8"/>
        <color rgb="FFC00000"/>
        <rFont val="Arial Narrow"/>
        <family val="2"/>
      </rPr>
      <t>(Rs. 2500, if Total Income upto Rs. 3.5 Lakhs)</t>
    </r>
  </si>
  <si>
    <t>FIN. YEAR  2017-18   (Assessment Year 2018-19)</t>
  </si>
  <si>
    <t xml:space="preserve">LESS: Transport Allowance  </t>
  </si>
  <si>
    <t xml:space="preserve">Less Transport Allowance </t>
  </si>
  <si>
    <t>Rs. 1691</t>
  </si>
  <si>
    <t>Tax</t>
  </si>
  <si>
    <t>Cess</t>
  </si>
  <si>
    <t xml:space="preserve">Total </t>
  </si>
  <si>
    <t xml:space="preserve">Rebate </t>
  </si>
  <si>
    <t xml:space="preserve">Employer Contribution </t>
  </si>
  <si>
    <t>Less Std Ded</t>
  </si>
  <si>
    <t>Employee - NPS</t>
  </si>
  <si>
    <t>PPF</t>
  </si>
  <si>
    <t xml:space="preserve">Section 80CCD (1) </t>
  </si>
  <si>
    <t xml:space="preserve">Section 80CCD (1B) </t>
  </si>
  <si>
    <t xml:space="preserve">Section 80CCD (2) </t>
  </si>
  <si>
    <t xml:space="preserve"> 250000 - 500000</t>
  </si>
  <si>
    <t xml:space="preserve">Effective Tax Rate </t>
  </si>
  <si>
    <t xml:space="preserve">TDS </t>
  </si>
  <si>
    <t xml:space="preserve">Rs. 62167 PM </t>
  </si>
  <si>
    <t>Rs. 879 PM</t>
  </si>
  <si>
    <t xml:space="preserve">Gross Salary incl Employer NPS </t>
  </si>
  <si>
    <t>Code 4097</t>
  </si>
  <si>
    <t>Dep</t>
  </si>
  <si>
    <t>TDS on Audit Fees Rs. 200,000</t>
  </si>
  <si>
    <t>11(a)</t>
  </si>
  <si>
    <t xml:space="preserve">House Property Loss C/f to Next year </t>
  </si>
  <si>
    <t>LESS: EXEMPTED ALLOWANCES U/S 10</t>
  </si>
  <si>
    <t xml:space="preserve">Less TA </t>
  </si>
  <si>
    <t>Less WA</t>
  </si>
  <si>
    <t xml:space="preserve">Salary </t>
  </si>
  <si>
    <t>FDR INTT</t>
  </si>
  <si>
    <t>REFUND INTT</t>
  </si>
  <si>
    <r>
      <t xml:space="preserve">LESS : REBATE  </t>
    </r>
    <r>
      <rPr>
        <sz val="8"/>
        <rFont val="Arial Narrow"/>
        <family val="2"/>
      </rPr>
      <t>(Rs. 2500, if Total Income upto Rs. 3.5 Lakhs)</t>
    </r>
  </si>
  <si>
    <t>ADD LATE FEES U/S 234F …Filed on 26-12-18</t>
  </si>
  <si>
    <t xml:space="preserve">TOTAL TDS </t>
  </si>
  <si>
    <t>REFUND</t>
  </si>
  <si>
    <t>SUKANYA YOJANA</t>
  </si>
  <si>
    <t>LIFE INSURANCE PREM</t>
  </si>
  <si>
    <t>Allowances …</t>
  </si>
  <si>
    <t>Perquisites</t>
  </si>
  <si>
    <t xml:space="preserve">Deduction </t>
  </si>
  <si>
    <t xml:space="preserve">Profit in lieu of salary </t>
  </si>
  <si>
    <t>Exempted Allowances</t>
  </si>
  <si>
    <t>Washing  Allowance</t>
  </si>
  <si>
    <t>CLFPS6926M</t>
  </si>
  <si>
    <t>Msingh@321</t>
  </si>
  <si>
    <t>97204-63875</t>
  </si>
  <si>
    <t>Computer  (25-03-2019)</t>
  </si>
  <si>
    <t>Furniture  (01-04-2018)</t>
  </si>
  <si>
    <t>Furniture  (15-10-2018)</t>
  </si>
  <si>
    <t>Dr Singhania's 61st Ed. Aug-2019</t>
  </si>
  <si>
    <t>76000* .0760</t>
  </si>
  <si>
    <t>NEW PENSION SCHEME-80CCD (1)</t>
  </si>
  <si>
    <t xml:space="preserve">Cash </t>
  </si>
  <si>
    <t>House Property</t>
  </si>
  <si>
    <r>
      <t xml:space="preserve"> </t>
    </r>
    <r>
      <rPr>
        <b/>
        <sz val="8"/>
        <color rgb="FF7030A0"/>
        <rFont val="Arial"/>
        <family val="2"/>
      </rPr>
      <t>Dr S.B. Rathore,</t>
    </r>
    <r>
      <rPr>
        <b/>
        <sz val="8"/>
        <rFont val="Arial"/>
        <family val="2"/>
      </rPr>
      <t xml:space="preserve"> Former Associate Professor of Commerce, Shyam Lal College  </t>
    </r>
    <r>
      <rPr>
        <b/>
        <sz val="8"/>
        <color rgb="FF7030A0"/>
        <rFont val="Arial"/>
        <family val="2"/>
      </rPr>
      <t>#9811116835</t>
    </r>
  </si>
  <si>
    <r>
      <rPr>
        <sz val="10"/>
        <color rgb="FFC00000"/>
        <rFont val="Arial"/>
        <family val="2"/>
      </rPr>
      <t xml:space="preserve">4A(i) </t>
    </r>
    <r>
      <rPr>
        <sz val="10"/>
        <color theme="1"/>
        <rFont val="Arial"/>
        <family val="2"/>
      </rPr>
      <t xml:space="preserve"> Sales</t>
    </r>
  </si>
  <si>
    <r>
      <rPr>
        <sz val="10"/>
        <color rgb="FFC00000"/>
        <rFont val="Arial"/>
        <family val="2"/>
      </rPr>
      <t>5</t>
    </r>
    <r>
      <rPr>
        <sz val="10"/>
        <color rgb="FFFF0000"/>
        <rFont val="Arial"/>
        <family val="2"/>
      </rPr>
      <t xml:space="preserve"> </t>
    </r>
    <r>
      <rPr>
        <sz val="10"/>
        <color theme="1"/>
        <rFont val="Arial"/>
        <family val="2"/>
      </rPr>
      <t xml:space="preserve"> Closing Stock</t>
    </r>
  </si>
  <si>
    <r>
      <rPr>
        <sz val="10"/>
        <color rgb="FFC00000"/>
        <rFont val="Arial"/>
        <family val="2"/>
      </rPr>
      <t xml:space="preserve">7  </t>
    </r>
    <r>
      <rPr>
        <sz val="10"/>
        <color theme="1"/>
        <rFont val="Arial"/>
        <family val="2"/>
      </rPr>
      <t xml:space="preserve"> Opening Stock</t>
    </r>
  </si>
  <si>
    <r>
      <rPr>
        <sz val="10"/>
        <color rgb="FFC00000"/>
        <rFont val="Arial"/>
        <family val="2"/>
      </rPr>
      <t xml:space="preserve">8  </t>
    </r>
    <r>
      <rPr>
        <sz val="10"/>
        <color theme="1"/>
        <rFont val="Arial"/>
        <family val="2"/>
      </rPr>
      <t xml:space="preserve"> Purchases</t>
    </r>
  </si>
  <si>
    <r>
      <rPr>
        <sz val="10"/>
        <color rgb="FFC00000"/>
        <rFont val="Arial"/>
        <family val="2"/>
      </rPr>
      <t>22(i)</t>
    </r>
    <r>
      <rPr>
        <sz val="10"/>
        <color theme="1"/>
        <rFont val="Arial"/>
        <family val="2"/>
      </rPr>
      <t xml:space="preserve">  Salary &amp; Wages</t>
    </r>
  </si>
  <si>
    <r>
      <rPr>
        <sz val="10"/>
        <color rgb="FFC00000"/>
        <rFont val="Arial"/>
        <family val="2"/>
      </rPr>
      <t xml:space="preserve">19  </t>
    </r>
    <r>
      <rPr>
        <sz val="10"/>
        <color theme="1"/>
        <rFont val="Arial"/>
        <family val="2"/>
      </rPr>
      <t>Rent of Office</t>
    </r>
  </si>
  <si>
    <r>
      <rPr>
        <sz val="10"/>
        <color rgb="FFC00000"/>
        <rFont val="Arial"/>
        <family val="2"/>
      </rPr>
      <t xml:space="preserve">29  </t>
    </r>
    <r>
      <rPr>
        <sz val="10"/>
        <color theme="1"/>
        <rFont val="Arial"/>
        <family val="2"/>
      </rPr>
      <t xml:space="preserve">Advertisement </t>
    </r>
  </si>
  <si>
    <r>
      <rPr>
        <sz val="10"/>
        <color rgb="FFC00000"/>
        <rFont val="Arial"/>
        <family val="2"/>
      </rPr>
      <t>52</t>
    </r>
    <r>
      <rPr>
        <sz val="10"/>
        <color theme="1"/>
        <rFont val="Arial"/>
        <family val="2"/>
      </rPr>
      <t xml:space="preserve">  Dep</t>
    </r>
  </si>
  <si>
    <r>
      <rPr>
        <sz val="10"/>
        <color rgb="FFC00000"/>
        <rFont val="Arial"/>
        <family val="2"/>
      </rPr>
      <t>1(a)</t>
    </r>
    <r>
      <rPr>
        <sz val="10"/>
        <color theme="1"/>
        <rFont val="Arial"/>
        <family val="2"/>
      </rPr>
      <t xml:space="preserve"> Prop's Capital </t>
    </r>
  </si>
  <si>
    <r>
      <rPr>
        <sz val="10"/>
        <color rgb="FFC00000"/>
        <rFont val="Arial"/>
        <family val="2"/>
      </rPr>
      <t xml:space="preserve">3(a)(i)D </t>
    </r>
    <r>
      <rPr>
        <sz val="10"/>
        <color theme="1"/>
        <rFont val="Arial"/>
        <family val="2"/>
      </rPr>
      <t xml:space="preserve"> Closing Stock </t>
    </r>
  </si>
  <si>
    <r>
      <rPr>
        <sz val="10"/>
        <color rgb="FFC00000"/>
        <rFont val="Arial"/>
        <family val="2"/>
      </rPr>
      <t>3(a)(ii)</t>
    </r>
    <r>
      <rPr>
        <sz val="10"/>
        <color theme="1"/>
        <rFont val="Arial"/>
        <family val="2"/>
      </rPr>
      <t xml:space="preserve"> Debtors</t>
    </r>
  </si>
  <si>
    <r>
      <rPr>
        <sz val="10"/>
        <color rgb="FFC00000"/>
        <rFont val="Arial"/>
        <family val="2"/>
      </rPr>
      <t>1(a)</t>
    </r>
    <r>
      <rPr>
        <sz val="10"/>
        <color theme="1"/>
        <rFont val="Arial"/>
        <family val="2"/>
      </rPr>
      <t xml:space="preserve"> Furniture + Comp</t>
    </r>
  </si>
  <si>
    <r>
      <rPr>
        <sz val="10"/>
        <color rgb="FFC00000"/>
        <rFont val="Arial"/>
        <family val="2"/>
      </rPr>
      <t xml:space="preserve">1(b) </t>
    </r>
    <r>
      <rPr>
        <sz val="10"/>
        <color theme="1"/>
        <rFont val="Arial"/>
        <family val="2"/>
      </rPr>
      <t>Dep on Furniture</t>
    </r>
  </si>
  <si>
    <r>
      <rPr>
        <sz val="10"/>
        <color rgb="FFC00000"/>
        <rFont val="Arial"/>
        <family val="2"/>
      </rPr>
      <t>2(a)(i)</t>
    </r>
    <r>
      <rPr>
        <sz val="10"/>
        <color theme="1"/>
        <rFont val="Arial"/>
        <family val="2"/>
      </rPr>
      <t xml:space="preserve"> Investment </t>
    </r>
  </si>
  <si>
    <r>
      <rPr>
        <sz val="10"/>
        <color rgb="FFC00000"/>
        <rFont val="Arial"/>
        <family val="2"/>
      </rPr>
      <t>3(a)(iii)B</t>
    </r>
    <r>
      <rPr>
        <sz val="10"/>
        <color theme="1"/>
        <rFont val="Arial"/>
        <family val="2"/>
      </rPr>
      <t xml:space="preserve">  Bank Bals</t>
    </r>
  </si>
  <si>
    <r>
      <rPr>
        <sz val="10"/>
        <color rgb="FFC00000"/>
        <rFont val="Arial"/>
        <family val="2"/>
      </rPr>
      <t>3(a)(iii)A</t>
    </r>
    <r>
      <rPr>
        <sz val="10"/>
        <color theme="1"/>
        <rFont val="Arial"/>
        <family val="2"/>
      </rPr>
      <t xml:space="preserve">  Cash </t>
    </r>
  </si>
  <si>
    <r>
      <rPr>
        <sz val="10"/>
        <color rgb="FF0070C0"/>
        <rFont val="Arial"/>
        <family val="2"/>
      </rPr>
      <t>3 (d)(i)A</t>
    </r>
    <r>
      <rPr>
        <sz val="10"/>
        <color rgb="FFC00000"/>
        <rFont val="Arial"/>
        <family val="2"/>
      </rPr>
      <t xml:space="preserve"> </t>
    </r>
    <r>
      <rPr>
        <sz val="10"/>
        <color theme="1"/>
        <rFont val="Arial"/>
        <family val="2"/>
      </rPr>
      <t>Creditors</t>
    </r>
  </si>
  <si>
    <t xml:space="preserve">   41000 (25-03-19) </t>
  </si>
  <si>
    <t xml:space="preserve">   140000  (01-04-18)</t>
  </si>
  <si>
    <t xml:space="preserve">     12500 (15-10-18)</t>
  </si>
  <si>
    <t xml:space="preserve">Due Date </t>
  </si>
  <si>
    <t xml:space="preserve">Balance in Cash </t>
  </si>
  <si>
    <t>15 amount OI (7j) Sec 37</t>
  </si>
  <si>
    <t>16 amount OI (8Aj) Sec 40</t>
  </si>
  <si>
    <t>17 amount OI (9f) Sec 40A</t>
  </si>
  <si>
    <t xml:space="preserve">Auto from DEP-DCG </t>
  </si>
  <si>
    <r>
      <rPr>
        <sz val="10"/>
        <color rgb="FFC00000"/>
        <rFont val="Arial"/>
        <family val="2"/>
      </rPr>
      <t xml:space="preserve">46(1) </t>
    </r>
    <r>
      <rPr>
        <sz val="10"/>
        <color theme="1"/>
        <rFont val="Arial"/>
        <family val="2"/>
      </rPr>
      <t xml:space="preserve">  House Hold Exps</t>
    </r>
  </si>
  <si>
    <r>
      <rPr>
        <sz val="10"/>
        <color rgb="FFC00000"/>
        <rFont val="Arial"/>
        <family val="2"/>
      </rPr>
      <t>46 (2)</t>
    </r>
    <r>
      <rPr>
        <sz val="10"/>
        <color theme="1"/>
        <rFont val="Arial"/>
        <family val="2"/>
      </rPr>
      <t xml:space="preserve"> Income Tax </t>
    </r>
  </si>
  <si>
    <r>
      <rPr>
        <b/>
        <sz val="10"/>
        <color rgb="FFC00000"/>
        <rFont val="Arial"/>
        <family val="2"/>
      </rPr>
      <t xml:space="preserve"> Case-17</t>
    </r>
    <r>
      <rPr>
        <b/>
        <sz val="10"/>
        <color theme="1"/>
        <rFont val="Arial"/>
        <family val="2"/>
      </rPr>
      <t xml:space="preserve">   </t>
    </r>
    <r>
      <rPr>
        <sz val="10"/>
        <color theme="1"/>
        <rFont val="Arial"/>
        <family val="2"/>
      </rPr>
      <t xml:space="preserve">Part A - Trading  + Profit &amp; Loss A/c  (Code 9028   Retail-Others) </t>
    </r>
  </si>
  <si>
    <t xml:space="preserve">Auto </t>
  </si>
  <si>
    <t>ADD : EDUCATION &amp; HEALTH CESS (4 % ON TAX PAYABLE)</t>
  </si>
  <si>
    <r>
      <t xml:space="preserve">ADD: INTEREST (234A, 234B &amp; 234C) and LATE Fees U/S 234F </t>
    </r>
    <r>
      <rPr>
        <b/>
        <sz val="9"/>
        <color rgb="FFFF0000"/>
        <rFont val="Arial"/>
        <family val="2"/>
      </rPr>
      <t xml:space="preserve">(Not to be calculated) </t>
    </r>
  </si>
  <si>
    <t>Case Study-17, Pg  525-527</t>
  </si>
  <si>
    <t>(Salary to Manager in cash on 01-02-19)</t>
  </si>
  <si>
    <t xml:space="preserve">53 Profit after Tax </t>
  </si>
  <si>
    <t xml:space="preserve">12 Gross profit </t>
  </si>
  <si>
    <t xml:space="preserve">13  Gross Profit </t>
  </si>
  <si>
    <t>Address:  J-150, Banjara Hills, Hyderabad-500034</t>
  </si>
  <si>
    <r>
      <t xml:space="preserve">HOUSE PROPERTY </t>
    </r>
    <r>
      <rPr>
        <sz val="10"/>
        <color theme="1"/>
        <rFont val="Arial"/>
        <family val="2"/>
      </rPr>
      <t>U/S 22-27</t>
    </r>
    <r>
      <rPr>
        <sz val="10"/>
        <color rgb="FFC00000"/>
        <rFont val="Arial"/>
        <family val="2"/>
      </rPr>
      <t xml:space="preserve"> (Let-Out) </t>
    </r>
  </si>
  <si>
    <t>LESS: Standard Deduction U/S 16</t>
  </si>
  <si>
    <t xml:space="preserve">First Year </t>
  </si>
  <si>
    <t xml:space="preserve">Excel Workbook </t>
  </si>
  <si>
    <t xml:space="preserve">YouTube Video </t>
  </si>
  <si>
    <t>Tax Cals (Excel)</t>
  </si>
  <si>
    <t xml:space="preserve">A S S E S S M E N T   Y E A R  :  2 0 1 9 - 2 0 </t>
  </si>
  <si>
    <r>
      <t xml:space="preserve"> </t>
    </r>
    <r>
      <rPr>
        <b/>
        <sz val="8"/>
        <color rgb="FF7030A0"/>
        <rFont val="Arial"/>
        <family val="2"/>
      </rPr>
      <t>Dr S.B. Rathore,</t>
    </r>
    <r>
      <rPr>
        <b/>
        <sz val="8"/>
        <rFont val="Arial"/>
        <family val="2"/>
      </rPr>
      <t xml:space="preserve"> Former Associate Professor of Commerce, Shyam Lal College  </t>
    </r>
    <r>
      <rPr>
        <b/>
        <sz val="8"/>
        <color rgb="FF7030A0"/>
        <rFont val="Arial"/>
        <family val="2"/>
      </rPr>
      <t># 9811116835</t>
    </r>
  </si>
  <si>
    <t>Code 9028</t>
  </si>
  <si>
    <t>Kapoor Traders</t>
  </si>
  <si>
    <t xml:space="preserve">XML </t>
  </si>
  <si>
    <t>http://taxclasses.in/itr-3-dr-vk-singhania/</t>
  </si>
  <si>
    <t>VKS (Case 15-20)</t>
  </si>
  <si>
    <t>Case Study-19, Pg  529-532</t>
  </si>
  <si>
    <r>
      <t xml:space="preserve">Closing Stock </t>
    </r>
    <r>
      <rPr>
        <sz val="12"/>
        <color rgb="FFC00000"/>
        <rFont val="Arial"/>
        <family val="2"/>
      </rPr>
      <t xml:space="preserve">(RM) </t>
    </r>
  </si>
  <si>
    <r>
      <t>Closing Stock (</t>
    </r>
    <r>
      <rPr>
        <sz val="12"/>
        <color rgb="FFC00000"/>
        <rFont val="Arial"/>
        <family val="2"/>
      </rPr>
      <t xml:space="preserve">Finished) </t>
    </r>
  </si>
  <si>
    <t xml:space="preserve">ADD: INTEREST (234A, 234B &amp; 234C) and LATE Fees U/S 234F (Not to be calculated) </t>
  </si>
  <si>
    <t>.</t>
  </si>
  <si>
    <t xml:space="preserve">Land Acq Cost </t>
  </si>
  <si>
    <t xml:space="preserve">CG Deposit </t>
  </si>
  <si>
    <t>CII</t>
  </si>
  <si>
    <t>50000*280/100</t>
  </si>
  <si>
    <t>300000*280/137</t>
  </si>
  <si>
    <t>12000*280/105</t>
  </si>
  <si>
    <t>File Revised</t>
  </si>
  <si>
    <t>Filed on 10/09</t>
  </si>
  <si>
    <r>
      <t>REC Bonds</t>
    </r>
    <r>
      <rPr>
        <sz val="10"/>
        <color rgb="FFC00000"/>
        <rFont val="Arial"/>
        <family val="2"/>
      </rPr>
      <t xml:space="preserve"> </t>
    </r>
  </si>
  <si>
    <t>Early</t>
  </si>
  <si>
    <t>1986-87</t>
  </si>
  <si>
    <t xml:space="preserve">Not Allowed </t>
  </si>
  <si>
    <t>Not Allowed</t>
  </si>
  <si>
    <t>910000*280/100</t>
  </si>
  <si>
    <r>
      <t xml:space="preserve">REC / NHAI Bonds </t>
    </r>
    <r>
      <rPr>
        <sz val="9"/>
        <color rgb="FFC00000"/>
        <rFont val="Arial"/>
        <family val="2"/>
      </rPr>
      <t xml:space="preserve">(Not Allowed) </t>
    </r>
  </si>
  <si>
    <t>10(a)</t>
  </si>
  <si>
    <r>
      <rPr>
        <b/>
        <sz val="10"/>
        <color theme="1"/>
        <rFont val="Arial"/>
        <family val="2"/>
      </rPr>
      <t>House</t>
    </r>
    <r>
      <rPr>
        <sz val="10"/>
        <color theme="1"/>
        <rFont val="Arial"/>
        <family val="2"/>
      </rPr>
      <t xml:space="preserve"> (Not Plot) </t>
    </r>
  </si>
  <si>
    <t>Buyer Details: Dr SB Rathore, PAN: AAAPR1234H</t>
  </si>
  <si>
    <t>https://drive.google.com/open?id=1Q-0Tz0JJRTwwbSMIDUdluFFu-SbPd_vP</t>
  </si>
  <si>
    <t xml:space="preserve">Not Taxable </t>
  </si>
  <si>
    <t xml:space="preserve">1(a) - 1(b) </t>
  </si>
  <si>
    <t>3(a)(i)(B)</t>
  </si>
  <si>
    <t>1A(i)</t>
  </si>
  <si>
    <t>1B</t>
  </si>
  <si>
    <t>1D(i)</t>
  </si>
  <si>
    <t>1D(ii)</t>
  </si>
  <si>
    <t>2(i)</t>
  </si>
  <si>
    <t>4C(iii)</t>
  </si>
  <si>
    <t>4C(i)</t>
  </si>
  <si>
    <t>4A(i)</t>
  </si>
  <si>
    <t>10(vi)</t>
  </si>
  <si>
    <t>10(iv)</t>
  </si>
  <si>
    <t>22(i)</t>
  </si>
  <si>
    <t>23(iv)</t>
  </si>
  <si>
    <t>30(ii)</t>
  </si>
  <si>
    <t xml:space="preserve">32(ii) </t>
  </si>
  <si>
    <t>44(ix)</t>
  </si>
  <si>
    <t>46(i)</t>
  </si>
  <si>
    <t>Bank Balance (Current and Saving)</t>
  </si>
  <si>
    <r>
      <t>Net Profit</t>
    </r>
    <r>
      <rPr>
        <sz val="12"/>
        <color rgb="FFC00000"/>
        <rFont val="Arial"/>
        <family val="2"/>
      </rPr>
      <t xml:space="preserve"> (Auto)</t>
    </r>
  </si>
  <si>
    <r>
      <t xml:space="preserve">Gross Profit  </t>
    </r>
    <r>
      <rPr>
        <sz val="12"/>
        <color rgb="FFC00000"/>
        <rFont val="Arial"/>
        <family val="2"/>
      </rPr>
      <t>(Auto)</t>
    </r>
  </si>
  <si>
    <r>
      <t>Cost of Goods Purchased</t>
    </r>
    <r>
      <rPr>
        <sz val="12"/>
        <color rgb="FFC00000"/>
        <rFont val="Arial"/>
        <family val="2"/>
      </rPr>
      <t xml:space="preserve"> (Auto)</t>
    </r>
  </si>
  <si>
    <t>http://taxclasses.in/tax-cals-case-19/</t>
  </si>
  <si>
    <t>https://drive.google.com/open?id=1WErDRUtECn-2nQUHGUZiTb4KKhqfujgR</t>
  </si>
  <si>
    <t>Total Dep</t>
  </si>
  <si>
    <t>https://youtu.be/n6qjXQ-9WC8</t>
  </si>
  <si>
    <t>Address of Property: 25,  Saakshara, A-3, PV-110063</t>
  </si>
  <si>
    <t>Dr Singhania's 61st Ed. Aug-2020</t>
  </si>
  <si>
    <t xml:space="preserve">A S S E S S M E N T   Y E A R  :  2 0 2 0 - 2 1 </t>
  </si>
  <si>
    <t>P &amp; M  (01-04-2019)</t>
  </si>
  <si>
    <t xml:space="preserve">Sold (April - Sept 2019) </t>
  </si>
  <si>
    <t>Computer  (01-04-2019)</t>
  </si>
  <si>
    <t>Furniture  (01-04-2019)</t>
  </si>
  <si>
    <t>Dr Singhania's 63rd Ed. Aug-2020</t>
  </si>
  <si>
    <t>ADD: INTEREST U/S 234A, 234B &amp; 234C</t>
  </si>
  <si>
    <t xml:space="preserve">ADD: LATE Fees U/S 234F </t>
  </si>
  <si>
    <t>Case Study-19, Pg  541-544</t>
  </si>
  <si>
    <t>2019-20</t>
  </si>
  <si>
    <t>50000*289/100</t>
  </si>
  <si>
    <t>12000*289/105</t>
  </si>
  <si>
    <t>300000*289/137</t>
  </si>
  <si>
    <t>Post-Filed</t>
  </si>
  <si>
    <t>Prior-Sale</t>
  </si>
  <si>
    <t>Before</t>
  </si>
  <si>
    <t>First Floor</t>
  </si>
  <si>
    <t>Second Floor</t>
  </si>
  <si>
    <r>
      <t xml:space="preserve">Capital Gains Bonds </t>
    </r>
    <r>
      <rPr>
        <sz val="9"/>
        <color rgb="FFC00000"/>
        <rFont val="Arial"/>
        <family val="2"/>
      </rPr>
      <t>Not  Allowed</t>
    </r>
  </si>
  <si>
    <t>910000*289/100</t>
  </si>
  <si>
    <r>
      <t xml:space="preserve">Purchased </t>
    </r>
    <r>
      <rPr>
        <sz val="12"/>
        <color rgb="FFFF0000"/>
        <rFont val="Arial"/>
        <family val="2"/>
      </rPr>
      <t xml:space="preserve"> </t>
    </r>
    <r>
      <rPr>
        <sz val="12"/>
        <color rgb="FFC00000"/>
        <rFont val="Arial"/>
        <family val="2"/>
      </rPr>
      <t xml:space="preserve">(180 or more  Days) </t>
    </r>
  </si>
  <si>
    <r>
      <t xml:space="preserve">Purchased </t>
    </r>
    <r>
      <rPr>
        <sz val="12"/>
        <color rgb="FFC00000"/>
        <rFont val="Arial"/>
        <family val="2"/>
      </rPr>
      <t xml:space="preserve"> (Less than 180 days)</t>
    </r>
  </si>
  <si>
    <r>
      <t xml:space="preserve">Purchased  </t>
    </r>
    <r>
      <rPr>
        <sz val="12"/>
        <color rgb="FFFF0000"/>
        <rFont val="Arial"/>
        <family val="2"/>
      </rPr>
      <t xml:space="preserve"> </t>
    </r>
    <r>
      <rPr>
        <sz val="12"/>
        <color rgb="FFC00000"/>
        <rFont val="Arial"/>
        <family val="2"/>
      </rPr>
      <t xml:space="preserve">(180 or more  Days) </t>
    </r>
  </si>
  <si>
    <t xml:space="preserve">Plant &amp; Machinery @ 15% </t>
  </si>
  <si>
    <t>Computer  @ 40%</t>
  </si>
  <si>
    <t>Furniture @ 10%</t>
  </si>
  <si>
    <t>DEP - P &amp; L A/c</t>
  </si>
  <si>
    <t>DEP  - DPM &amp; DOA</t>
  </si>
  <si>
    <t>Improved</t>
  </si>
  <si>
    <t>House Prop Loss C/f to AY 2021-22</t>
  </si>
  <si>
    <t>4.70 Crores</t>
  </si>
  <si>
    <t>Sec 44AB  Audit - Optional if 5% ?</t>
  </si>
  <si>
    <t>Ritesh Software Ltd</t>
  </si>
  <si>
    <t>BPLR65412E</t>
  </si>
  <si>
    <r>
      <t>GST: 23-</t>
    </r>
    <r>
      <rPr>
        <sz val="9"/>
        <color theme="5" tint="-0.249977111117893"/>
        <rFont val="Arial"/>
        <family val="2"/>
      </rPr>
      <t>PAN</t>
    </r>
    <r>
      <rPr>
        <sz val="9"/>
        <color rgb="FF080CB8"/>
        <rFont val="Arial"/>
        <family val="2"/>
      </rPr>
      <t>-1ZA</t>
    </r>
  </si>
  <si>
    <r>
      <t xml:space="preserve">House </t>
    </r>
    <r>
      <rPr>
        <sz val="10"/>
        <color rgb="FFFF0000"/>
        <rFont val="Arial"/>
        <family val="2"/>
      </rPr>
      <t xml:space="preserve">(Not Plot) </t>
    </r>
  </si>
  <si>
    <t>First 250000</t>
  </si>
  <si>
    <t>Next  250000</t>
  </si>
  <si>
    <t>Next 500000</t>
  </si>
  <si>
    <t>Date of Audit</t>
  </si>
  <si>
    <t>Advised to file the  Revised ITR (Sale of House)</t>
  </si>
  <si>
    <t>Buyer Details: ComSolutions Ltd, PAN: BAACC7801G</t>
  </si>
  <si>
    <r>
      <rPr>
        <b/>
        <sz val="12"/>
        <color theme="3" tint="-0.249977111117893"/>
        <rFont val="Arial"/>
        <family val="2"/>
      </rPr>
      <t xml:space="preserve">   Maufacturing Account    </t>
    </r>
    <r>
      <rPr>
        <b/>
        <sz val="12"/>
        <color theme="9" tint="-0.249977111117893"/>
        <rFont val="Arial"/>
        <family val="2"/>
      </rPr>
      <t xml:space="preserve"> </t>
    </r>
    <r>
      <rPr>
        <b/>
        <sz val="12"/>
        <color theme="1"/>
        <rFont val="Arial"/>
        <family val="2"/>
      </rPr>
      <t xml:space="preserve">       </t>
    </r>
    <r>
      <rPr>
        <b/>
        <sz val="12"/>
        <color rgb="FFC00000"/>
        <rFont val="Arial"/>
        <family val="2"/>
      </rPr>
      <t xml:space="preserve">  Trading Account  </t>
    </r>
    <r>
      <rPr>
        <b/>
        <sz val="12"/>
        <color theme="1"/>
        <rFont val="Arial"/>
        <family val="2"/>
      </rPr>
      <t xml:space="preserve">     </t>
    </r>
    <r>
      <rPr>
        <b/>
        <sz val="12"/>
        <color rgb="FF080CB8"/>
        <rFont val="Arial"/>
        <family val="2"/>
      </rPr>
      <t xml:space="preserve"> Profit &amp; Loss  Account </t>
    </r>
    <r>
      <rPr>
        <b/>
        <sz val="12"/>
        <color theme="1"/>
        <rFont val="Arial"/>
        <family val="2"/>
      </rPr>
      <t xml:space="preserve">         Manufacturing Code No 4097</t>
    </r>
  </si>
</sst>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 #,##0.00_ ;_ * \-#,##0.00_ ;_ * &quot;-&quot;??_ ;_ @_ "/>
    <numFmt numFmtId="164" formatCode="&quot;Rs.&quot;\ #,##0;[Red]&quot;Rs.&quot;\ \-#,##0"/>
    <numFmt numFmtId="165" formatCode="0.0000"/>
    <numFmt numFmtId="166" formatCode="[$-409]d\-mmm\-yy;@"/>
    <numFmt numFmtId="167" formatCode="0_ ;[Red]\-0\ "/>
    <numFmt numFmtId="168" formatCode="_([$€-2]* #,##0.00_);_([$€-2]* \(#,##0.00\);_([$€-2]* &quot;-&quot;??_)"/>
    <numFmt numFmtId="169" formatCode="0.000000"/>
  </numFmts>
  <fonts count="214">
    <font>
      <sz val="10"/>
      <name val="Arial"/>
    </font>
    <font>
      <sz val="11"/>
      <color theme="1"/>
      <name val="Calibri"/>
      <family val="2"/>
      <scheme val="minor"/>
    </font>
    <font>
      <sz val="11"/>
      <color theme="1"/>
      <name val="Calibri"/>
      <family val="2"/>
      <scheme val="minor"/>
    </font>
    <font>
      <sz val="10"/>
      <name val="Arial"/>
      <family val="2"/>
    </font>
    <font>
      <b/>
      <i/>
      <sz val="10"/>
      <name val="Arial"/>
      <family val="2"/>
    </font>
    <font>
      <b/>
      <sz val="10"/>
      <name val="Arial"/>
      <family val="2"/>
    </font>
    <font>
      <sz val="10"/>
      <name val="Arial"/>
      <family val="2"/>
    </font>
    <font>
      <b/>
      <u/>
      <sz val="10"/>
      <name val="Arial"/>
      <family val="2"/>
    </font>
    <font>
      <b/>
      <u/>
      <sz val="8"/>
      <name val="Arial"/>
      <family val="2"/>
    </font>
    <font>
      <i/>
      <sz val="10"/>
      <name val="Arial"/>
      <family val="2"/>
    </font>
    <font>
      <u/>
      <sz val="10"/>
      <name val="Arial"/>
      <family val="2"/>
    </font>
    <font>
      <i/>
      <u/>
      <sz val="10"/>
      <name val="Arial"/>
      <family val="2"/>
    </font>
    <font>
      <i/>
      <sz val="8"/>
      <name val="Arial"/>
      <family val="2"/>
    </font>
    <font>
      <b/>
      <sz val="8"/>
      <name val="Arial"/>
      <family val="2"/>
    </font>
    <font>
      <sz val="8"/>
      <name val="Arial"/>
      <family val="2"/>
    </font>
    <font>
      <b/>
      <sz val="11"/>
      <name val="Arial"/>
      <family val="2"/>
    </font>
    <font>
      <sz val="9"/>
      <name val="Arial"/>
      <family val="2"/>
    </font>
    <font>
      <sz val="9"/>
      <name val="Arial"/>
      <family val="2"/>
    </font>
    <font>
      <b/>
      <sz val="9"/>
      <name val="Arial"/>
      <family val="2"/>
    </font>
    <font>
      <sz val="8"/>
      <name val="Arial Narrow"/>
      <family val="2"/>
    </font>
    <font>
      <sz val="8"/>
      <color indexed="10"/>
      <name val="Arial"/>
      <family val="2"/>
    </font>
    <font>
      <b/>
      <sz val="10"/>
      <color indexed="10"/>
      <name val="Arial"/>
      <family val="2"/>
    </font>
    <font>
      <sz val="10"/>
      <color indexed="9"/>
      <name val="Arial"/>
      <family val="2"/>
    </font>
    <font>
      <u/>
      <sz val="8"/>
      <name val="Arial"/>
      <family val="2"/>
    </font>
    <font>
      <b/>
      <u/>
      <sz val="9"/>
      <name val="Arial"/>
      <family val="2"/>
    </font>
    <font>
      <sz val="11"/>
      <name val="Arial"/>
      <family val="2"/>
    </font>
    <font>
      <sz val="8"/>
      <color indexed="81"/>
      <name val="Tahoma"/>
      <family val="2"/>
    </font>
    <font>
      <b/>
      <sz val="8"/>
      <color indexed="81"/>
      <name val="Tahoma"/>
      <family val="2"/>
    </font>
    <font>
      <sz val="8"/>
      <color indexed="10"/>
      <name val="Arial"/>
      <family val="2"/>
    </font>
    <font>
      <sz val="9"/>
      <name val="Arial Narrow"/>
      <family val="2"/>
    </font>
    <font>
      <b/>
      <sz val="10"/>
      <name val="Arial Narrow"/>
      <family val="2"/>
    </font>
    <font>
      <b/>
      <sz val="8"/>
      <color indexed="10"/>
      <name val="Arial"/>
      <family val="2"/>
    </font>
    <font>
      <b/>
      <sz val="10"/>
      <name val="System"/>
      <family val="2"/>
    </font>
    <font>
      <b/>
      <u/>
      <sz val="9"/>
      <color indexed="12"/>
      <name val="Arial"/>
      <family val="2"/>
    </font>
    <font>
      <b/>
      <sz val="9"/>
      <color indexed="9"/>
      <name val="Arial"/>
      <family val="2"/>
    </font>
    <font>
      <b/>
      <sz val="10"/>
      <name val="Arial"/>
      <family val="2"/>
    </font>
    <font>
      <b/>
      <u/>
      <sz val="8"/>
      <color indexed="10"/>
      <name val="Arial"/>
      <family val="2"/>
    </font>
    <font>
      <sz val="8"/>
      <color indexed="9"/>
      <name val="Arial Narrow"/>
      <family val="2"/>
    </font>
    <font>
      <b/>
      <sz val="8"/>
      <color indexed="12"/>
      <name val="Arial"/>
      <family val="2"/>
    </font>
    <font>
      <sz val="10"/>
      <name val="Arial Narrow"/>
      <family val="2"/>
    </font>
    <font>
      <b/>
      <sz val="10"/>
      <name val="Comic Sans MS"/>
      <family val="4"/>
    </font>
    <font>
      <sz val="8"/>
      <name val="Arial"/>
      <family val="2"/>
    </font>
    <font>
      <b/>
      <sz val="9"/>
      <color indexed="12"/>
      <name val="Arial"/>
      <family val="2"/>
    </font>
    <font>
      <sz val="9"/>
      <color indexed="9"/>
      <name val="Arial"/>
      <family val="2"/>
    </font>
    <font>
      <sz val="10"/>
      <color indexed="10"/>
      <name val="Arial"/>
      <family val="2"/>
    </font>
    <font>
      <sz val="10"/>
      <color indexed="8"/>
      <name val="Arial"/>
      <family val="2"/>
    </font>
    <font>
      <b/>
      <sz val="10"/>
      <color indexed="12"/>
      <name val="Arial"/>
      <family val="2"/>
    </font>
    <font>
      <u/>
      <sz val="8"/>
      <color indexed="12"/>
      <name val="Arial"/>
      <family val="2"/>
    </font>
    <font>
      <b/>
      <u/>
      <sz val="11"/>
      <color indexed="10"/>
      <name val="Arial"/>
      <family val="2"/>
    </font>
    <font>
      <sz val="10"/>
      <color indexed="12"/>
      <name val="Arial"/>
      <family val="2"/>
    </font>
    <font>
      <b/>
      <sz val="11"/>
      <color indexed="10"/>
      <name val="Arial"/>
      <family val="2"/>
    </font>
    <font>
      <b/>
      <u/>
      <sz val="10"/>
      <color indexed="12"/>
      <name val="Arial"/>
      <family val="2"/>
    </font>
    <font>
      <sz val="9"/>
      <color indexed="12"/>
      <name val="Arial"/>
      <family val="2"/>
    </font>
    <font>
      <u/>
      <sz val="9"/>
      <color indexed="12"/>
      <name val="Arial"/>
      <family val="2"/>
    </font>
    <font>
      <b/>
      <u/>
      <sz val="10"/>
      <color indexed="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9"/>
      <color indexed="8"/>
      <name val="Arial"/>
      <family val="2"/>
    </font>
    <font>
      <b/>
      <sz val="9"/>
      <color indexed="8"/>
      <name val="Arial"/>
      <family val="2"/>
    </font>
    <font>
      <sz val="8"/>
      <color indexed="8"/>
      <name val="Arial"/>
      <family val="2"/>
    </font>
    <font>
      <b/>
      <sz val="9"/>
      <name val="Wingdings"/>
      <charset val="2"/>
    </font>
    <font>
      <sz val="9"/>
      <color indexed="8"/>
      <name val="Arial Narrow"/>
      <family val="2"/>
    </font>
    <font>
      <sz val="8"/>
      <color indexed="8"/>
      <name val="Arial Narrow"/>
      <family val="2"/>
    </font>
    <font>
      <i/>
      <sz val="9"/>
      <name val="Arial"/>
      <family val="2"/>
    </font>
    <font>
      <b/>
      <sz val="10"/>
      <color indexed="9"/>
      <name val="Arial"/>
      <family val="2"/>
    </font>
    <font>
      <b/>
      <sz val="10"/>
      <name val="Wingdings"/>
      <charset val="2"/>
    </font>
    <font>
      <i/>
      <sz val="9"/>
      <name val="Arial Narrow"/>
      <family val="2"/>
    </font>
    <font>
      <i/>
      <sz val="10"/>
      <name val="Arial Narrow"/>
      <family val="2"/>
    </font>
    <font>
      <b/>
      <sz val="8"/>
      <color indexed="8"/>
      <name val="Arial Narrow"/>
      <family val="2"/>
    </font>
    <font>
      <sz val="9"/>
      <color indexed="10"/>
      <name val="Arial"/>
      <family val="2"/>
    </font>
    <font>
      <b/>
      <sz val="9"/>
      <color indexed="10"/>
      <name val="Arial"/>
      <family val="2"/>
    </font>
    <font>
      <vertAlign val="superscript"/>
      <sz val="9"/>
      <name val="Arial"/>
      <family val="2"/>
    </font>
    <font>
      <sz val="10"/>
      <color indexed="12"/>
      <name val="Arial Narrow"/>
      <family val="2"/>
    </font>
    <font>
      <u/>
      <sz val="9"/>
      <color indexed="8"/>
      <name val="Arial"/>
      <family val="2"/>
    </font>
    <font>
      <i/>
      <sz val="9"/>
      <color indexed="10"/>
      <name val="Arial"/>
      <family val="2"/>
    </font>
    <font>
      <sz val="9"/>
      <color indexed="16"/>
      <name val="Arial Narrow"/>
      <family val="2"/>
    </font>
    <font>
      <sz val="9"/>
      <color indexed="10"/>
      <name val="Arial Narrow"/>
      <family val="2"/>
    </font>
    <font>
      <sz val="8"/>
      <color indexed="12"/>
      <name val="Arial"/>
      <family val="2"/>
    </font>
    <font>
      <b/>
      <sz val="8"/>
      <color indexed="10"/>
      <name val="Arial Narrow"/>
      <family val="2"/>
    </font>
    <font>
      <u/>
      <sz val="10"/>
      <name val="Arial"/>
      <family val="2"/>
    </font>
    <font>
      <sz val="10"/>
      <name val="Arial"/>
      <family val="2"/>
    </font>
    <font>
      <sz val="10"/>
      <color indexed="8"/>
      <name val="Arial"/>
      <family val="2"/>
    </font>
    <font>
      <sz val="10"/>
      <name val="Arial"/>
      <family val="2"/>
    </font>
    <font>
      <u/>
      <sz val="8"/>
      <color indexed="10"/>
      <name val="Arial Narrow"/>
      <family val="2"/>
    </font>
    <font>
      <b/>
      <sz val="8"/>
      <color indexed="12"/>
      <name val="Arial Narrow"/>
      <family val="2"/>
    </font>
    <font>
      <sz val="9"/>
      <name val="Arial"/>
      <family val="2"/>
    </font>
    <font>
      <sz val="9"/>
      <color theme="1"/>
      <name val="Arial"/>
      <family val="2"/>
    </font>
    <font>
      <sz val="8"/>
      <color theme="1"/>
      <name val="Arial Narrow"/>
      <family val="2"/>
    </font>
    <font>
      <sz val="10"/>
      <color theme="1"/>
      <name val="Arial"/>
      <family val="2"/>
    </font>
    <font>
      <sz val="8"/>
      <color theme="1"/>
      <name val="Arial"/>
      <family val="2"/>
    </font>
    <font>
      <sz val="11"/>
      <color theme="1"/>
      <name val="Arial"/>
      <family val="2"/>
    </font>
    <font>
      <b/>
      <sz val="9"/>
      <color theme="1"/>
      <name val="High Tower Text"/>
      <family val="1"/>
    </font>
    <font>
      <b/>
      <u/>
      <sz val="10"/>
      <color theme="1"/>
      <name val="Arial"/>
      <family val="2"/>
    </font>
    <font>
      <b/>
      <sz val="10"/>
      <color theme="1"/>
      <name val="Arial"/>
      <family val="2"/>
    </font>
    <font>
      <b/>
      <sz val="8"/>
      <color theme="1"/>
      <name val="Arial"/>
      <family val="2"/>
    </font>
    <font>
      <b/>
      <sz val="9"/>
      <color theme="1"/>
      <name val="Arial"/>
      <family val="2"/>
    </font>
    <font>
      <sz val="9"/>
      <color theme="1"/>
      <name val="Arial Narrow"/>
      <family val="2"/>
    </font>
    <font>
      <b/>
      <u/>
      <sz val="9"/>
      <color theme="1"/>
      <name val="Arial"/>
      <family val="2"/>
    </font>
    <font>
      <b/>
      <u/>
      <sz val="9"/>
      <color theme="1"/>
      <name val="Arial Narrow"/>
      <family val="2"/>
    </font>
    <font>
      <u/>
      <sz val="10"/>
      <color theme="1"/>
      <name val="Arial"/>
      <family val="2"/>
    </font>
    <font>
      <i/>
      <u/>
      <sz val="10"/>
      <color theme="1"/>
      <name val="Arial"/>
      <family val="2"/>
    </font>
    <font>
      <i/>
      <sz val="8"/>
      <color theme="1"/>
      <name val="Arial"/>
      <family val="2"/>
    </font>
    <font>
      <sz val="10"/>
      <color theme="1"/>
      <name val="Arial Narrow"/>
      <family val="2"/>
    </font>
    <font>
      <sz val="10"/>
      <color theme="0"/>
      <name val="Arial"/>
      <family val="2"/>
    </font>
    <font>
      <b/>
      <sz val="9"/>
      <color rgb="FF7030A0"/>
      <name val="Arial"/>
      <family val="2"/>
    </font>
    <font>
      <b/>
      <sz val="9"/>
      <color theme="0"/>
      <name val="Arial"/>
      <family val="2"/>
    </font>
    <font>
      <b/>
      <sz val="8"/>
      <color rgb="FFC00000"/>
      <name val="Arial"/>
      <family val="2"/>
    </font>
    <font>
      <sz val="10"/>
      <color theme="0" tint="-4.9989318521683403E-2"/>
      <name val="Arial"/>
      <family val="2"/>
    </font>
    <font>
      <b/>
      <sz val="11"/>
      <color theme="1"/>
      <name val="Lucida Console"/>
      <family val="3"/>
    </font>
    <font>
      <sz val="9"/>
      <color rgb="FF37404E"/>
      <name val="Arial"/>
      <family val="2"/>
    </font>
    <font>
      <sz val="8"/>
      <color rgb="FF37404E"/>
      <name val="Arial"/>
      <family val="2"/>
    </font>
    <font>
      <sz val="8"/>
      <color indexed="12"/>
      <name val="Arial Narrow"/>
      <family val="2"/>
    </font>
    <font>
      <b/>
      <sz val="9"/>
      <color rgb="FF0070C0"/>
      <name val="Arial"/>
      <family val="2"/>
    </font>
    <font>
      <b/>
      <sz val="9"/>
      <color rgb="FFFF0000"/>
      <name val="Arial"/>
      <family val="2"/>
    </font>
    <font>
      <sz val="8"/>
      <color rgb="FFC00000"/>
      <name val="Arial"/>
      <family val="2"/>
    </font>
    <font>
      <b/>
      <sz val="10"/>
      <color rgb="FF37404E"/>
      <name val="Arial"/>
      <family val="2"/>
    </font>
    <font>
      <sz val="10"/>
      <color theme="3" tint="-0.249977111117893"/>
      <name val="Arial"/>
      <family val="2"/>
    </font>
    <font>
      <sz val="10"/>
      <color rgb="FF37404E"/>
      <name val="Arial"/>
      <family val="2"/>
    </font>
    <font>
      <sz val="10"/>
      <color rgb="FFFF0000"/>
      <name val="Arial"/>
      <family val="2"/>
    </font>
    <font>
      <sz val="10"/>
      <color rgb="FFC00000"/>
      <name val="Arial"/>
      <family val="2"/>
    </font>
    <font>
      <sz val="9"/>
      <color rgb="FF00B0F0"/>
      <name val="Arial"/>
      <family val="2"/>
    </font>
    <font>
      <u/>
      <sz val="9"/>
      <color theme="1"/>
      <name val="Arial"/>
      <family val="2"/>
    </font>
    <font>
      <sz val="10"/>
      <color theme="0"/>
      <name val="Arial Narrow"/>
      <family val="2"/>
    </font>
    <font>
      <sz val="12"/>
      <name val="Arial"/>
      <family val="2"/>
    </font>
    <font>
      <sz val="9"/>
      <color rgb="FFC00000"/>
      <name val="Arial"/>
      <family val="2"/>
    </font>
    <font>
      <sz val="9"/>
      <color rgb="FFFF0000"/>
      <name val="Arial"/>
      <family val="2"/>
    </font>
    <font>
      <i/>
      <u/>
      <sz val="9"/>
      <color theme="1"/>
      <name val="Arial"/>
      <family val="2"/>
    </font>
    <font>
      <i/>
      <sz val="8"/>
      <color rgb="FFC00000"/>
      <name val="Arial"/>
      <family val="2"/>
    </font>
    <font>
      <sz val="9"/>
      <color rgb="FF7030A0"/>
      <name val="Arial"/>
      <family val="2"/>
    </font>
    <font>
      <sz val="10"/>
      <color rgb="FF00B0F0"/>
      <name val="Arial"/>
      <family val="2"/>
    </font>
    <font>
      <i/>
      <sz val="9"/>
      <color theme="1"/>
      <name val="Arial"/>
      <family val="2"/>
    </font>
    <font>
      <sz val="10"/>
      <color theme="9" tint="-0.249977111117893"/>
      <name val="Arial"/>
      <family val="2"/>
    </font>
    <font>
      <b/>
      <sz val="10"/>
      <color theme="9" tint="-0.249977111117893"/>
      <name val="Arial"/>
      <family val="2"/>
    </font>
    <font>
      <b/>
      <sz val="14"/>
      <color rgb="FF000000"/>
      <name val="Calibri"/>
      <family val="2"/>
    </font>
    <font>
      <sz val="14"/>
      <color theme="1"/>
      <name val="Calibri"/>
      <family val="2"/>
      <scheme val="minor"/>
    </font>
    <font>
      <sz val="14"/>
      <color rgb="FF000000"/>
      <name val="Calibri"/>
      <family val="2"/>
    </font>
    <font>
      <sz val="11"/>
      <color rgb="FF000000"/>
      <name val="Calibri"/>
      <family val="2"/>
    </font>
    <font>
      <sz val="12"/>
      <color rgb="FF002060"/>
      <name val="Calibri"/>
      <family val="2"/>
    </font>
    <font>
      <sz val="12"/>
      <color theme="1"/>
      <name val="Arial"/>
      <family val="2"/>
    </font>
    <font>
      <b/>
      <u/>
      <sz val="12"/>
      <color theme="1"/>
      <name val="Arial"/>
      <family val="2"/>
    </font>
    <font>
      <b/>
      <sz val="12"/>
      <color theme="1"/>
      <name val="Arial"/>
      <family val="2"/>
    </font>
    <font>
      <sz val="12"/>
      <color rgb="FFFF0000"/>
      <name val="Arial"/>
      <family val="2"/>
    </font>
    <font>
      <b/>
      <sz val="12"/>
      <name val="Arial"/>
      <family val="2"/>
    </font>
    <font>
      <sz val="12"/>
      <color rgb="FFC00000"/>
      <name val="Arial"/>
      <family val="2"/>
    </font>
    <font>
      <sz val="11"/>
      <color rgb="FFC00000"/>
      <name val="Arial"/>
      <family val="2"/>
    </font>
    <font>
      <sz val="12"/>
      <color theme="9" tint="-0.249977111117893"/>
      <name val="Arial"/>
      <family val="2"/>
    </font>
    <font>
      <sz val="8"/>
      <color rgb="FFFF0000"/>
      <name val="Arial"/>
      <family val="2"/>
    </font>
    <font>
      <b/>
      <sz val="9"/>
      <color rgb="FF00B0F0"/>
      <name val="Arial"/>
      <family val="2"/>
    </font>
    <font>
      <sz val="10"/>
      <color rgb="FF666666"/>
      <name val="Arial"/>
      <family val="2"/>
    </font>
    <font>
      <b/>
      <sz val="10"/>
      <color rgb="FF666666"/>
      <name val="Arial"/>
      <family val="2"/>
    </font>
    <font>
      <b/>
      <sz val="10"/>
      <color rgb="FFFF0000"/>
      <name val="Arial"/>
      <family val="2"/>
    </font>
    <font>
      <b/>
      <sz val="10"/>
      <color rgb="FFC00000"/>
      <name val="Arial"/>
      <family val="2"/>
    </font>
    <font>
      <sz val="10"/>
      <color rgb="FF7030A0"/>
      <name val="Arial"/>
      <family val="2"/>
    </font>
    <font>
      <b/>
      <sz val="9"/>
      <color theme="1"/>
      <name val="Lucida Console"/>
      <family val="3"/>
    </font>
    <font>
      <b/>
      <sz val="9"/>
      <color rgb="FFC00000"/>
      <name val="Lucida Console"/>
      <family val="3"/>
    </font>
    <font>
      <b/>
      <sz val="10"/>
      <color theme="1"/>
      <name val="Lucida Console"/>
      <family val="3"/>
    </font>
    <font>
      <b/>
      <sz val="10"/>
      <color theme="4" tint="0.79998168889431442"/>
      <name val="Arial"/>
      <family val="2"/>
    </font>
    <font>
      <b/>
      <sz val="8"/>
      <color rgb="FF7030A0"/>
      <name val="Arial"/>
      <family val="2"/>
    </font>
    <font>
      <sz val="8"/>
      <color rgb="FF7030A0"/>
      <name val="Arial"/>
      <family val="2"/>
    </font>
    <font>
      <i/>
      <sz val="10"/>
      <color rgb="FFC00000"/>
      <name val="Arial"/>
      <family val="2"/>
    </font>
    <font>
      <sz val="10"/>
      <name val="Arial"/>
      <family val="2"/>
    </font>
    <font>
      <sz val="12"/>
      <color rgb="FF0070C0"/>
      <name val="Arial"/>
      <family val="2"/>
    </font>
    <font>
      <b/>
      <sz val="12"/>
      <color theme="9" tint="-0.249977111117893"/>
      <name val="Arial"/>
      <family val="2"/>
    </font>
    <font>
      <sz val="8"/>
      <color rgb="FF00B0F0"/>
      <name val="Arial"/>
      <family val="2"/>
    </font>
    <font>
      <sz val="8"/>
      <color rgb="FF002060"/>
      <name val="Arial"/>
      <family val="2"/>
    </font>
    <font>
      <b/>
      <sz val="9"/>
      <color theme="0"/>
      <name val="Arial Narrow"/>
      <family val="2"/>
    </font>
    <font>
      <sz val="10"/>
      <color rgb="FFC00000"/>
      <name val="Arial Narrow"/>
      <family val="2"/>
    </font>
    <font>
      <sz val="8"/>
      <color rgb="FF0070C0"/>
      <name val="Arial"/>
      <family val="2"/>
    </font>
    <font>
      <i/>
      <sz val="9"/>
      <color rgb="FFC00000"/>
      <name val="Arial"/>
      <family val="2"/>
    </font>
    <font>
      <sz val="9"/>
      <color rgb="FF002060"/>
      <name val="Arial"/>
      <family val="2"/>
    </font>
    <font>
      <b/>
      <i/>
      <sz val="10"/>
      <color theme="1"/>
      <name val="Arial"/>
      <family val="2"/>
    </font>
    <font>
      <i/>
      <sz val="11"/>
      <color rgb="FFC00000"/>
      <name val="Arial"/>
      <family val="2"/>
    </font>
    <font>
      <sz val="8"/>
      <color rgb="FFC00000"/>
      <name val="Arial Narrow"/>
      <family val="2"/>
    </font>
    <font>
      <i/>
      <sz val="9"/>
      <color theme="1"/>
      <name val="Arial Narrow"/>
      <family val="2"/>
    </font>
    <font>
      <i/>
      <sz val="10"/>
      <color theme="1"/>
      <name val="Arial"/>
      <family val="2"/>
    </font>
    <font>
      <b/>
      <sz val="12"/>
      <color theme="1"/>
      <name val="Lucida Console"/>
      <family val="3"/>
    </font>
    <font>
      <b/>
      <sz val="9"/>
      <color theme="0" tint="-4.9989318521683403E-2"/>
      <name val="Arial"/>
      <family val="2"/>
    </font>
    <font>
      <sz val="10"/>
      <name val="Arial"/>
      <family val="2"/>
    </font>
    <font>
      <sz val="11"/>
      <color rgb="FF00B0F0"/>
      <name val="Arial"/>
      <family val="2"/>
    </font>
    <font>
      <sz val="10"/>
      <color rgb="FF0070C0"/>
      <name val="Arial"/>
      <family val="2"/>
    </font>
    <font>
      <i/>
      <sz val="10"/>
      <color rgb="FF002060"/>
      <name val="Arial"/>
      <family val="2"/>
    </font>
    <font>
      <b/>
      <sz val="12"/>
      <color rgb="FFC00000"/>
      <name val="Arial"/>
      <family val="2"/>
    </font>
    <font>
      <sz val="8"/>
      <color theme="5" tint="-0.249977111117893"/>
      <name val="Arial"/>
      <family val="2"/>
    </font>
    <font>
      <sz val="10"/>
      <color theme="5" tint="-0.249977111117893"/>
      <name val="Arial"/>
      <family val="2"/>
    </font>
    <font>
      <b/>
      <sz val="10"/>
      <color theme="1"/>
      <name val="Arial Narrow"/>
      <family val="2"/>
    </font>
    <font>
      <sz val="12"/>
      <color rgb="FF7030A0"/>
      <name val="Arial"/>
      <family val="2"/>
    </font>
    <font>
      <b/>
      <sz val="9"/>
      <color rgb="FF002060"/>
      <name val="Arial"/>
      <family val="2"/>
    </font>
    <font>
      <i/>
      <sz val="12"/>
      <color rgb="FFFF0000"/>
      <name val="Arial"/>
      <family val="2"/>
    </font>
    <font>
      <sz val="10"/>
      <color theme="4" tint="-0.249977111117893"/>
      <name val="Arial"/>
      <family val="2"/>
    </font>
    <font>
      <i/>
      <sz val="8"/>
      <color rgb="FFFF0000"/>
      <name val="Arial"/>
      <family val="2"/>
    </font>
    <font>
      <sz val="8"/>
      <color rgb="FF080CB8"/>
      <name val="Arial"/>
      <family val="2"/>
    </font>
    <font>
      <sz val="10"/>
      <color rgb="FF080CB8"/>
      <name val="Arial"/>
      <family val="2"/>
    </font>
    <font>
      <sz val="12"/>
      <color rgb="FF080CB8"/>
      <name val="Arial"/>
      <family val="2"/>
    </font>
    <font>
      <sz val="8"/>
      <color rgb="FF080CB8"/>
      <name val="Arial Narrow"/>
      <family val="2"/>
    </font>
    <font>
      <b/>
      <sz val="8"/>
      <color rgb="FF080CB8"/>
      <name val="Arial Narrow"/>
      <family val="2"/>
    </font>
    <font>
      <sz val="9"/>
      <color rgb="FF080CB8"/>
      <name val="Arial"/>
      <family val="2"/>
    </font>
    <font>
      <sz val="9"/>
      <color theme="5" tint="-0.249977111117893"/>
      <name val="Arial"/>
      <family val="2"/>
    </font>
    <font>
      <b/>
      <sz val="12"/>
      <color rgb="FF080CB8"/>
      <name val="Arial"/>
      <family val="2"/>
    </font>
    <font>
      <b/>
      <sz val="12"/>
      <color theme="3" tint="-0.249977111117893"/>
      <name val="Arial"/>
      <family val="2"/>
    </font>
  </fonts>
  <fills count="5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41"/>
        <bgColor indexed="64"/>
      </patternFill>
    </fill>
    <fill>
      <patternFill patternType="solid">
        <fgColor indexed="42"/>
        <bgColor indexed="64"/>
      </patternFill>
    </fill>
    <fill>
      <patternFill patternType="solid">
        <fgColor indexed="8"/>
        <bgColor indexed="64"/>
      </patternFill>
    </fill>
    <fill>
      <patternFill patternType="solid">
        <fgColor indexed="13"/>
        <bgColor indexed="64"/>
      </patternFill>
    </fill>
    <fill>
      <patternFill patternType="solid">
        <fgColor indexed="43"/>
        <bgColor indexed="64"/>
      </patternFill>
    </fill>
    <fill>
      <patternFill patternType="solid">
        <fgColor rgb="FFCC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rgb="FFFFFF00"/>
        <bgColor rgb="FF000000"/>
      </patternFill>
    </fill>
    <fill>
      <patternFill patternType="solid">
        <fgColor rgb="FFFDE9D9"/>
        <bgColor rgb="FF000000"/>
      </patternFill>
    </fill>
    <fill>
      <patternFill patternType="solid">
        <fgColor rgb="FFC5D9F1"/>
        <bgColor rgb="FF000000"/>
      </patternFill>
    </fill>
    <fill>
      <patternFill patternType="solid">
        <fgColor rgb="FFF2DCDB"/>
        <bgColor rgb="FF000000"/>
      </patternFill>
    </fill>
    <fill>
      <patternFill patternType="solid">
        <fgColor rgb="FFEBF1DE"/>
        <bgColor rgb="FF000000"/>
      </patternFill>
    </fill>
    <fill>
      <patternFill patternType="solid">
        <fgColor rgb="FFDCE6F1"/>
        <bgColor rgb="FF000000"/>
      </patternFill>
    </fill>
    <fill>
      <patternFill patternType="solid">
        <fgColor rgb="FFDAEEF3"/>
        <bgColor rgb="FF000000"/>
      </patternFill>
    </fill>
    <fill>
      <patternFill patternType="solid">
        <fgColor rgb="FFD9D9D9"/>
        <bgColor rgb="FF000000"/>
      </patternFill>
    </fill>
    <fill>
      <patternFill patternType="solid">
        <fgColor theme="4" tint="0.79998168889431442"/>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3" tint="0.79998168889431442"/>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theme="9"/>
        <bgColor indexed="64"/>
      </patternFill>
    </fill>
    <fill>
      <patternFill patternType="solid">
        <fgColor theme="6" tint="0.39997558519241921"/>
        <bgColor indexed="64"/>
      </patternFill>
    </fill>
  </fills>
  <borders count="6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indexed="64"/>
      </right>
      <top/>
      <bottom/>
      <diagonal/>
    </border>
    <border>
      <left/>
      <right style="thin">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double">
        <color indexed="64"/>
      </bottom>
      <diagonal/>
    </border>
    <border>
      <left style="medium">
        <color indexed="64"/>
      </left>
      <right/>
      <top style="medium">
        <color indexed="64"/>
      </top>
      <bottom/>
      <diagonal/>
    </border>
    <border>
      <left style="medium">
        <color indexed="64"/>
      </left>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top/>
      <bottom style="medium">
        <color indexed="64"/>
      </bottom>
      <diagonal/>
    </border>
    <border>
      <left/>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double">
        <color indexed="64"/>
      </bottom>
      <diagonal/>
    </border>
    <border>
      <left/>
      <right/>
      <top/>
      <bottom style="double">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double">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double">
        <color indexed="64"/>
      </bottom>
      <diagonal/>
    </border>
    <border>
      <left/>
      <right/>
      <top style="double">
        <color indexed="64"/>
      </top>
      <bottom/>
      <diagonal/>
    </border>
    <border>
      <left style="thin">
        <color indexed="64"/>
      </left>
      <right/>
      <top style="double">
        <color indexed="64"/>
      </top>
      <bottom/>
      <diagonal/>
    </border>
    <border>
      <left style="medium">
        <color indexed="64"/>
      </left>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s>
  <cellStyleXfs count="55">
    <xf numFmtId="0" fontId="0" fillId="0" borderId="0"/>
    <xf numFmtId="0" fontId="55" fillId="2" borderId="0" applyNumberFormat="0" applyBorder="0" applyAlignment="0" applyProtection="0"/>
    <xf numFmtId="0" fontId="55" fillId="3" borderId="0" applyNumberFormat="0" applyBorder="0" applyAlignment="0" applyProtection="0"/>
    <xf numFmtId="0" fontId="55" fillId="4" borderId="0" applyNumberFormat="0" applyBorder="0" applyAlignment="0" applyProtection="0"/>
    <xf numFmtId="0" fontId="55" fillId="5" borderId="0" applyNumberFormat="0" applyBorder="0" applyAlignment="0" applyProtection="0"/>
    <xf numFmtId="0" fontId="55" fillId="6" borderId="0" applyNumberFormat="0" applyBorder="0" applyAlignment="0" applyProtection="0"/>
    <xf numFmtId="0" fontId="55" fillId="7" borderId="0" applyNumberFormat="0" applyBorder="0" applyAlignment="0" applyProtection="0"/>
    <xf numFmtId="0" fontId="55" fillId="8" borderId="0" applyNumberFormat="0" applyBorder="0" applyAlignment="0" applyProtection="0"/>
    <xf numFmtId="0" fontId="55" fillId="9" borderId="0" applyNumberFormat="0" applyBorder="0" applyAlignment="0" applyProtection="0"/>
    <xf numFmtId="0" fontId="55" fillId="10" borderId="0" applyNumberFormat="0" applyBorder="0" applyAlignment="0" applyProtection="0"/>
    <xf numFmtId="0" fontId="55" fillId="5" borderId="0" applyNumberFormat="0" applyBorder="0" applyAlignment="0" applyProtection="0"/>
    <xf numFmtId="0" fontId="55" fillId="8" borderId="0" applyNumberFormat="0" applyBorder="0" applyAlignment="0" applyProtection="0"/>
    <xf numFmtId="0" fontId="55" fillId="11" borderId="0" applyNumberFormat="0" applyBorder="0" applyAlignment="0" applyProtection="0"/>
    <xf numFmtId="0" fontId="56" fillId="12" borderId="0" applyNumberFormat="0" applyBorder="0" applyAlignment="0" applyProtection="0"/>
    <xf numFmtId="0" fontId="56" fillId="9" borderId="0" applyNumberFormat="0" applyBorder="0" applyAlignment="0" applyProtection="0"/>
    <xf numFmtId="0" fontId="56" fillId="10" borderId="0" applyNumberFormat="0" applyBorder="0" applyAlignment="0" applyProtection="0"/>
    <xf numFmtId="0" fontId="56" fillId="13" borderId="0" applyNumberFormat="0" applyBorder="0" applyAlignment="0" applyProtection="0"/>
    <xf numFmtId="0" fontId="56" fillId="14" borderId="0" applyNumberFormat="0" applyBorder="0" applyAlignment="0" applyProtection="0"/>
    <xf numFmtId="0" fontId="56" fillId="15" borderId="0" applyNumberFormat="0" applyBorder="0" applyAlignment="0" applyProtection="0"/>
    <xf numFmtId="0" fontId="56" fillId="16" borderId="0" applyNumberFormat="0" applyBorder="0" applyAlignment="0" applyProtection="0"/>
    <xf numFmtId="0" fontId="56" fillId="17" borderId="0" applyNumberFormat="0" applyBorder="0" applyAlignment="0" applyProtection="0"/>
    <xf numFmtId="0" fontId="56" fillId="18" borderId="0" applyNumberFormat="0" applyBorder="0" applyAlignment="0" applyProtection="0"/>
    <xf numFmtId="0" fontId="56" fillId="13" borderId="0" applyNumberFormat="0" applyBorder="0" applyAlignment="0" applyProtection="0"/>
    <xf numFmtId="0" fontId="56" fillId="14" borderId="0" applyNumberFormat="0" applyBorder="0" applyAlignment="0" applyProtection="0"/>
    <xf numFmtId="0" fontId="56" fillId="19" borderId="0" applyNumberFormat="0" applyBorder="0" applyAlignment="0" applyProtection="0"/>
    <xf numFmtId="0" fontId="57" fillId="3" borderId="0" applyNumberFormat="0" applyBorder="0" applyAlignment="0" applyProtection="0"/>
    <xf numFmtId="0" fontId="58" fillId="20" borderId="1" applyNumberFormat="0" applyAlignment="0" applyProtection="0"/>
    <xf numFmtId="0" fontId="59" fillId="21" borderId="2" applyNumberFormat="0" applyAlignment="0" applyProtection="0"/>
    <xf numFmtId="168" fontId="6" fillId="0" borderId="0" applyFont="0" applyFill="0" applyBorder="0" applyAlignment="0" applyProtection="0"/>
    <xf numFmtId="0" fontId="60" fillId="0" borderId="0" applyNumberFormat="0" applyFill="0" applyBorder="0" applyAlignment="0" applyProtection="0"/>
    <xf numFmtId="0" fontId="61" fillId="4" borderId="0" applyNumberFormat="0" applyBorder="0" applyAlignment="0" applyProtection="0"/>
    <xf numFmtId="0" fontId="62" fillId="0" borderId="3" applyNumberFormat="0" applyFill="0" applyAlignment="0" applyProtection="0"/>
    <xf numFmtId="0" fontId="63" fillId="0" borderId="4" applyNumberFormat="0" applyFill="0" applyAlignment="0" applyProtection="0"/>
    <xf numFmtId="0" fontId="64" fillId="0" borderId="5" applyNumberFormat="0" applyFill="0" applyAlignment="0" applyProtection="0"/>
    <xf numFmtId="0" fontId="64" fillId="0" borderId="0" applyNumberFormat="0" applyFill="0" applyBorder="0" applyAlignment="0" applyProtection="0"/>
    <xf numFmtId="0" fontId="65" fillId="7" borderId="1" applyNumberFormat="0" applyAlignment="0" applyProtection="0"/>
    <xf numFmtId="0" fontId="66" fillId="0" borderId="6" applyNumberFormat="0" applyFill="0" applyAlignment="0" applyProtection="0"/>
    <xf numFmtId="0" fontId="67" fillId="22" borderId="0" applyNumberFormat="0" applyBorder="0" applyAlignment="0" applyProtection="0"/>
    <xf numFmtId="0" fontId="6" fillId="0" borderId="0"/>
    <xf numFmtId="0" fontId="55" fillId="0" borderId="0"/>
    <xf numFmtId="0" fontId="3" fillId="0" borderId="0" applyNumberFormat="0" applyFont="0" applyFill="0" applyBorder="0" applyAlignment="0" applyProtection="0">
      <alignment vertical="top"/>
    </xf>
    <xf numFmtId="0" fontId="3" fillId="0" borderId="0" applyNumberFormat="0" applyFont="0" applyFill="0" applyBorder="0" applyAlignment="0" applyProtection="0">
      <alignment vertical="top"/>
    </xf>
    <xf numFmtId="0" fontId="55" fillId="23" borderId="7" applyNumberFormat="0" applyFont="0" applyAlignment="0" applyProtection="0"/>
    <xf numFmtId="0" fontId="68" fillId="20" borderId="8" applyNumberFormat="0" applyAlignment="0" applyProtection="0"/>
    <xf numFmtId="0" fontId="69" fillId="0" borderId="0" applyNumberFormat="0" applyFill="0" applyBorder="0" applyAlignment="0" applyProtection="0"/>
    <xf numFmtId="0" fontId="70" fillId="0" borderId="9" applyNumberFormat="0" applyFill="0" applyAlignment="0" applyProtection="0"/>
    <xf numFmtId="0" fontId="71" fillId="0" borderId="0" applyNumberFormat="0" applyFill="0" applyBorder="0" applyAlignment="0" applyProtection="0"/>
    <xf numFmtId="0" fontId="3" fillId="0" borderId="0"/>
    <xf numFmtId="168" fontId="3" fillId="0" borderId="0" applyFont="0" applyFill="0" applyBorder="0" applyAlignment="0" applyProtection="0"/>
    <xf numFmtId="0" fontId="3" fillId="0" borderId="0"/>
    <xf numFmtId="0" fontId="2" fillId="0" borderId="0"/>
    <xf numFmtId="0" fontId="1" fillId="0" borderId="0"/>
    <xf numFmtId="43" fontId="175" fillId="0" borderId="0" applyFont="0" applyFill="0" applyBorder="0" applyAlignment="0" applyProtection="0"/>
    <xf numFmtId="9" fontId="192" fillId="0" borderId="0" applyFont="0" applyFill="0" applyBorder="0" applyAlignment="0" applyProtection="0"/>
    <xf numFmtId="43" fontId="3" fillId="0" borderId="0" applyFont="0" applyFill="0" applyBorder="0" applyAlignment="0" applyProtection="0"/>
  </cellStyleXfs>
  <cellXfs count="1328">
    <xf numFmtId="0" fontId="0" fillId="0" borderId="0" xfId="0"/>
    <xf numFmtId="0" fontId="0" fillId="0" borderId="0" xfId="0" applyBorder="1"/>
    <xf numFmtId="0" fontId="0" fillId="0" borderId="0" xfId="0" applyBorder="1" applyAlignment="1">
      <alignment horizontal="left"/>
    </xf>
    <xf numFmtId="0" fontId="5" fillId="0" borderId="0" xfId="0" applyFont="1" applyBorder="1"/>
    <xf numFmtId="0" fontId="9" fillId="0" borderId="0" xfId="0" applyFont="1" applyBorder="1"/>
    <xf numFmtId="0" fontId="0" fillId="0" borderId="0" xfId="0" applyBorder="1" applyAlignment="1">
      <alignment horizontal="center"/>
    </xf>
    <xf numFmtId="1" fontId="12" fillId="0" borderId="0" xfId="0" applyNumberFormat="1" applyFont="1" applyBorder="1" applyAlignment="1">
      <alignment horizontal="right"/>
    </xf>
    <xf numFmtId="0" fontId="14" fillId="0" borderId="0" xfId="0" applyFont="1" applyBorder="1" applyAlignment="1">
      <alignment horizontal="left"/>
    </xf>
    <xf numFmtId="0" fontId="14" fillId="0" borderId="0" xfId="0" applyFont="1" applyBorder="1"/>
    <xf numFmtId="0" fontId="0" fillId="24" borderId="0" xfId="0" applyFill="1" applyBorder="1"/>
    <xf numFmtId="0" fontId="12" fillId="0" borderId="0" xfId="0" applyFont="1" applyBorder="1" applyAlignment="1">
      <alignment horizontal="right"/>
    </xf>
    <xf numFmtId="0" fontId="17" fillId="0" borderId="0" xfId="0" applyFont="1" applyBorder="1"/>
    <xf numFmtId="0" fontId="8" fillId="0" borderId="0" xfId="0" applyFont="1" applyBorder="1" applyAlignment="1">
      <alignment horizontal="left"/>
    </xf>
    <xf numFmtId="0" fontId="19" fillId="0" borderId="0" xfId="0" applyFont="1" applyBorder="1" applyAlignment="1">
      <alignment horizontal="left"/>
    </xf>
    <xf numFmtId="0" fontId="0" fillId="0" borderId="0" xfId="0" applyFill="1" applyBorder="1"/>
    <xf numFmtId="0" fontId="22" fillId="0" borderId="0" xfId="0" applyFont="1" applyBorder="1" applyAlignment="1">
      <alignment horizontal="left"/>
    </xf>
    <xf numFmtId="0" fontId="23" fillId="0" borderId="0" xfId="0" applyFont="1" applyBorder="1" applyAlignment="1">
      <alignment horizontal="left"/>
    </xf>
    <xf numFmtId="0" fontId="25" fillId="0" borderId="0" xfId="0" applyFont="1"/>
    <xf numFmtId="0" fontId="7" fillId="0" borderId="0" xfId="0" applyFont="1" applyBorder="1"/>
    <xf numFmtId="0" fontId="11" fillId="0" borderId="0" xfId="0" applyFont="1" applyBorder="1"/>
    <xf numFmtId="0" fontId="15" fillId="0" borderId="0" xfId="0" applyFont="1" applyBorder="1"/>
    <xf numFmtId="0" fontId="6" fillId="0" borderId="0" xfId="0" applyFont="1" applyBorder="1"/>
    <xf numFmtId="0" fontId="24" fillId="0" borderId="0" xfId="0" applyFont="1" applyBorder="1" applyAlignment="1">
      <alignment horizontal="left"/>
    </xf>
    <xf numFmtId="0" fontId="10" fillId="0" borderId="0" xfId="0" applyFont="1" applyBorder="1"/>
    <xf numFmtId="0" fontId="29" fillId="0" borderId="0" xfId="0" applyFont="1" applyBorder="1" applyAlignment="1">
      <alignment horizontal="left"/>
    </xf>
    <xf numFmtId="0" fontId="30" fillId="0" borderId="0" xfId="0" applyFont="1" applyBorder="1" applyAlignment="1">
      <alignment horizontal="right"/>
    </xf>
    <xf numFmtId="2" fontId="17" fillId="0" borderId="0" xfId="0" applyNumberFormat="1" applyFont="1" applyAlignment="1">
      <alignment horizontal="left"/>
    </xf>
    <xf numFmtId="0" fontId="34" fillId="0" borderId="0" xfId="0" applyFont="1" applyFill="1" applyBorder="1"/>
    <xf numFmtId="0" fontId="17" fillId="0" borderId="0" xfId="0" applyFont="1" applyBorder="1" applyAlignment="1">
      <alignment horizontal="left"/>
    </xf>
    <xf numFmtId="0" fontId="35" fillId="0" borderId="15" xfId="0" applyFont="1" applyBorder="1"/>
    <xf numFmtId="1" fontId="18" fillId="0" borderId="14" xfId="0" applyNumberFormat="1" applyFont="1" applyBorder="1" applyAlignment="1">
      <alignment horizontal="left"/>
    </xf>
    <xf numFmtId="1" fontId="37" fillId="0" borderId="0" xfId="0" applyNumberFormat="1" applyFont="1" applyBorder="1"/>
    <xf numFmtId="1" fontId="19" fillId="0" borderId="0" xfId="0" applyNumberFormat="1" applyFont="1" applyBorder="1" applyAlignment="1">
      <alignment horizontal="left"/>
    </xf>
    <xf numFmtId="0" fontId="24" fillId="0" borderId="0" xfId="0" applyFont="1" applyBorder="1" applyAlignment="1">
      <alignment horizontal="right"/>
    </xf>
    <xf numFmtId="0" fontId="24" fillId="0" borderId="0" xfId="0" applyFont="1" applyBorder="1" applyAlignment="1">
      <alignment horizontal="center"/>
    </xf>
    <xf numFmtId="9" fontId="17" fillId="0" borderId="0" xfId="0" applyNumberFormat="1" applyFont="1" applyBorder="1" applyAlignment="1">
      <alignment horizontal="center"/>
    </xf>
    <xf numFmtId="0" fontId="3" fillId="0" borderId="0" xfId="0" applyFont="1"/>
    <xf numFmtId="1" fontId="6" fillId="0" borderId="0" xfId="0" applyNumberFormat="1" applyFont="1" applyBorder="1"/>
    <xf numFmtId="0" fontId="24" fillId="0" borderId="0" xfId="0" applyFont="1" applyFill="1" applyBorder="1" applyAlignment="1">
      <alignment horizontal="left"/>
    </xf>
    <xf numFmtId="0" fontId="7" fillId="0" borderId="0" xfId="0" applyFont="1" applyFill="1" applyBorder="1" applyAlignment="1">
      <alignment horizontal="right"/>
    </xf>
    <xf numFmtId="1" fontId="0" fillId="24" borderId="14" xfId="0" applyNumberFormat="1" applyFill="1" applyBorder="1"/>
    <xf numFmtId="1" fontId="0" fillId="25" borderId="0" xfId="0" applyNumberFormat="1" applyFill="1" applyBorder="1"/>
    <xf numFmtId="0" fontId="43" fillId="0" borderId="0" xfId="0" applyFont="1" applyBorder="1" applyAlignment="1">
      <alignment horizontal="left"/>
    </xf>
    <xf numFmtId="0" fontId="19" fillId="0" borderId="0" xfId="0" applyFont="1" applyFill="1" applyBorder="1" applyAlignment="1">
      <alignment horizontal="left"/>
    </xf>
    <xf numFmtId="0" fontId="44" fillId="0" borderId="0" xfId="0" applyFont="1" applyBorder="1"/>
    <xf numFmtId="0" fontId="19" fillId="0" borderId="0" xfId="0" applyFont="1" applyBorder="1"/>
    <xf numFmtId="1" fontId="5" fillId="0" borderId="0" xfId="0" applyNumberFormat="1" applyFont="1" applyFill="1" applyBorder="1"/>
    <xf numFmtId="0" fontId="0" fillId="0" borderId="0" xfId="0" applyFill="1"/>
    <xf numFmtId="2" fontId="0" fillId="0" borderId="0" xfId="0" applyNumberFormat="1"/>
    <xf numFmtId="2" fontId="46" fillId="0" borderId="0" xfId="0" applyNumberFormat="1" applyFont="1"/>
    <xf numFmtId="0" fontId="14" fillId="0" borderId="0" xfId="0" applyFont="1" applyAlignment="1">
      <alignment horizontal="center"/>
    </xf>
    <xf numFmtId="0" fontId="47" fillId="0" borderId="0" xfId="0" applyFont="1" applyAlignment="1">
      <alignment horizontal="center"/>
    </xf>
    <xf numFmtId="0" fontId="47" fillId="0" borderId="0" xfId="0" applyFont="1" applyFill="1" applyAlignment="1">
      <alignment horizontal="center"/>
    </xf>
    <xf numFmtId="0" fontId="16" fillId="0" borderId="0" xfId="0" applyFont="1"/>
    <xf numFmtId="1" fontId="0" fillId="0" borderId="12" xfId="0" applyNumberFormat="1" applyBorder="1"/>
    <xf numFmtId="0" fontId="18" fillId="0" borderId="0" xfId="0" applyFont="1"/>
    <xf numFmtId="1" fontId="21" fillId="0" borderId="0" xfId="0" applyNumberFormat="1" applyFont="1"/>
    <xf numFmtId="0" fontId="48" fillId="0" borderId="0" xfId="0" applyFont="1" applyAlignment="1">
      <alignment horizontal="right"/>
    </xf>
    <xf numFmtId="0" fontId="0" fillId="0" borderId="0" xfId="0" applyAlignment="1">
      <alignment horizontal="center"/>
    </xf>
    <xf numFmtId="0" fontId="49" fillId="0" borderId="0" xfId="0" applyFont="1" applyAlignment="1">
      <alignment horizontal="left" indent="1"/>
    </xf>
    <xf numFmtId="2" fontId="5" fillId="0" borderId="12" xfId="0" applyNumberFormat="1" applyFont="1" applyBorder="1"/>
    <xf numFmtId="0" fontId="50" fillId="0" borderId="0" xfId="0" applyFont="1" applyAlignment="1">
      <alignment horizontal="right"/>
    </xf>
    <xf numFmtId="1" fontId="0" fillId="0" borderId="0" xfId="0" applyNumberFormat="1"/>
    <xf numFmtId="2" fontId="5" fillId="0" borderId="34" xfId="0" applyNumberFormat="1" applyFont="1" applyBorder="1"/>
    <xf numFmtId="1" fontId="3" fillId="0" borderId="0" xfId="0" applyNumberFormat="1" applyFont="1" applyFill="1"/>
    <xf numFmtId="0" fontId="38" fillId="0" borderId="0" xfId="0" applyFont="1" applyAlignment="1">
      <alignment horizontal="right"/>
    </xf>
    <xf numFmtId="0" fontId="51" fillId="0" borderId="0" xfId="0" applyFont="1"/>
    <xf numFmtId="2" fontId="0" fillId="0" borderId="0" xfId="0" applyNumberFormat="1" applyFill="1"/>
    <xf numFmtId="1" fontId="0" fillId="0" borderId="0" xfId="0" applyNumberFormat="1" applyFill="1"/>
    <xf numFmtId="0" fontId="0" fillId="0" borderId="0" xfId="0" applyFill="1" applyAlignment="1">
      <alignment horizontal="center"/>
    </xf>
    <xf numFmtId="0" fontId="16" fillId="0" borderId="0" xfId="0" applyFont="1" applyAlignment="1">
      <alignment horizontal="right"/>
    </xf>
    <xf numFmtId="0" fontId="21" fillId="25" borderId="0" xfId="0" applyFont="1" applyFill="1" applyAlignment="1">
      <alignment horizontal="center"/>
    </xf>
    <xf numFmtId="2" fontId="17" fillId="0" borderId="0" xfId="0" applyNumberFormat="1" applyFont="1" applyAlignment="1">
      <alignment horizontal="left" indent="1"/>
    </xf>
    <xf numFmtId="1" fontId="6" fillId="0" borderId="0" xfId="0" applyNumberFormat="1" applyFont="1" applyAlignment="1">
      <alignment horizontal="center"/>
    </xf>
    <xf numFmtId="2" fontId="17" fillId="0" borderId="0" xfId="0" applyNumberFormat="1" applyFont="1" applyAlignment="1"/>
    <xf numFmtId="0" fontId="0" fillId="0" borderId="0" xfId="0" applyAlignment="1">
      <alignment horizontal="left" indent="2"/>
    </xf>
    <xf numFmtId="0" fontId="54" fillId="0" borderId="0" xfId="0" applyFont="1" applyAlignment="1">
      <alignment horizontal="center"/>
    </xf>
    <xf numFmtId="0" fontId="21" fillId="0" borderId="0" xfId="0" applyFont="1" applyAlignment="1">
      <alignment horizontal="center"/>
    </xf>
    <xf numFmtId="0" fontId="72" fillId="0" borderId="0" xfId="39" applyFont="1" applyBorder="1"/>
    <xf numFmtId="0" fontId="72" fillId="0" borderId="0" xfId="39" applyFont="1" applyBorder="1" applyAlignment="1">
      <alignment horizontal="center"/>
    </xf>
    <xf numFmtId="0" fontId="72" fillId="0" borderId="14" xfId="39" applyFont="1" applyBorder="1"/>
    <xf numFmtId="0" fontId="72" fillId="0" borderId="35" xfId="39" applyFont="1" applyBorder="1"/>
    <xf numFmtId="0" fontId="72" fillId="0" borderId="16" xfId="39" applyFont="1" applyBorder="1"/>
    <xf numFmtId="0" fontId="72" fillId="0" borderId="15" xfId="39" applyFont="1" applyBorder="1"/>
    <xf numFmtId="0" fontId="72" fillId="0" borderId="10" xfId="39" applyFont="1" applyBorder="1"/>
    <xf numFmtId="0" fontId="72" fillId="0" borderId="18" xfId="39" applyFont="1" applyBorder="1"/>
    <xf numFmtId="0" fontId="72" fillId="0" borderId="14" xfId="39" applyFont="1" applyBorder="1" applyAlignment="1">
      <alignment horizontal="center"/>
    </xf>
    <xf numFmtId="0" fontId="72" fillId="0" borderId="11" xfId="39" applyFont="1" applyBorder="1"/>
    <xf numFmtId="0" fontId="72" fillId="0" borderId="36" xfId="39" applyFont="1" applyBorder="1"/>
    <xf numFmtId="0" fontId="72" fillId="0" borderId="17" xfId="39" applyFont="1" applyBorder="1"/>
    <xf numFmtId="0" fontId="72" fillId="0" borderId="31" xfId="39" applyFont="1" applyBorder="1"/>
    <xf numFmtId="0" fontId="72" fillId="0" borderId="31" xfId="39" applyFont="1" applyBorder="1" applyAlignment="1">
      <alignment horizontal="center"/>
    </xf>
    <xf numFmtId="0" fontId="72" fillId="0" borderId="0" xfId="39" applyFont="1" applyBorder="1" applyAlignment="1">
      <alignment horizontal="left"/>
    </xf>
    <xf numFmtId="0" fontId="72" fillId="0" borderId="0" xfId="39" applyFont="1" applyBorder="1" applyAlignment="1">
      <alignment horizontal="center" vertical="center" textRotation="90"/>
    </xf>
    <xf numFmtId="0" fontId="75" fillId="0" borderId="37" xfId="39" applyNumberFormat="1" applyFont="1" applyBorder="1" applyAlignment="1">
      <alignment horizontal="center" vertical="center"/>
    </xf>
    <xf numFmtId="0" fontId="72" fillId="0" borderId="14" xfId="39" applyFont="1" applyBorder="1" applyAlignment="1">
      <alignment horizontal="center" vertical="center" textRotation="90"/>
    </xf>
    <xf numFmtId="0" fontId="72" fillId="0" borderId="38" xfId="39" applyFont="1" applyBorder="1"/>
    <xf numFmtId="0" fontId="72" fillId="0" borderId="37" xfId="39" applyFont="1" applyBorder="1" applyAlignment="1">
      <alignment vertical="center"/>
    </xf>
    <xf numFmtId="0" fontId="75" fillId="0" borderId="14" xfId="39" applyNumberFormat="1" applyFont="1" applyBorder="1" applyAlignment="1">
      <alignment horizontal="center" vertical="center"/>
    </xf>
    <xf numFmtId="0" fontId="72" fillId="0" borderId="39" xfId="39" applyFont="1" applyBorder="1"/>
    <xf numFmtId="0" fontId="72" fillId="0" borderId="37" xfId="39" applyFont="1" applyBorder="1" applyAlignment="1">
      <alignment horizontal="center" vertical="center"/>
    </xf>
    <xf numFmtId="0" fontId="72" fillId="0" borderId="17" xfId="39" applyFont="1" applyBorder="1" applyAlignment="1">
      <alignment horizontal="center"/>
    </xf>
    <xf numFmtId="0" fontId="72" fillId="0" borderId="40" xfId="39" applyFont="1" applyBorder="1"/>
    <xf numFmtId="0" fontId="72" fillId="0" borderId="39" xfId="39" applyFont="1" applyBorder="1" applyAlignment="1">
      <alignment horizontal="center" vertical="center"/>
    </xf>
    <xf numFmtId="0" fontId="72" fillId="0" borderId="37" xfId="39" applyFont="1" applyBorder="1"/>
    <xf numFmtId="1" fontId="6" fillId="25" borderId="14" xfId="0" applyNumberFormat="1" applyFont="1" applyFill="1" applyBorder="1"/>
    <xf numFmtId="0" fontId="72" fillId="0" borderId="10" xfId="39" applyFont="1" applyBorder="1" applyAlignment="1">
      <alignment horizontal="center" vertical="center" textRotation="90"/>
    </xf>
    <xf numFmtId="0" fontId="72" fillId="0" borderId="36" xfId="39" applyFont="1" applyBorder="1" applyAlignment="1">
      <alignment horizontal="center"/>
    </xf>
    <xf numFmtId="0" fontId="72" fillId="0" borderId="39" xfId="39" applyFont="1" applyBorder="1" applyAlignment="1">
      <alignment horizontal="center"/>
    </xf>
    <xf numFmtId="0" fontId="72" fillId="0" borderId="40" xfId="39" applyFont="1" applyBorder="1" applyAlignment="1">
      <alignment horizontal="center"/>
    </xf>
    <xf numFmtId="0" fontId="72" fillId="0" borderId="18" xfId="39" applyFont="1" applyBorder="1" applyAlignment="1">
      <alignment horizontal="center"/>
    </xf>
    <xf numFmtId="0" fontId="17" fillId="0" borderId="39" xfId="41" applyNumberFormat="1" applyFont="1" applyFill="1" applyBorder="1" applyAlignment="1" applyProtection="1">
      <alignment horizontal="center" vertical="top"/>
    </xf>
    <xf numFmtId="0" fontId="17" fillId="0" borderId="37" xfId="41" applyNumberFormat="1" applyFont="1" applyFill="1" applyBorder="1" applyAlignment="1" applyProtection="1">
      <alignment horizontal="center" vertical="top"/>
    </xf>
    <xf numFmtId="0" fontId="45" fillId="0" borderId="0" xfId="39" applyFont="1" applyFill="1" applyBorder="1"/>
    <xf numFmtId="0" fontId="45" fillId="0" borderId="0" xfId="39" applyFont="1" applyBorder="1"/>
    <xf numFmtId="0" fontId="72" fillId="0" borderId="37" xfId="39" applyFont="1" applyBorder="1" applyAlignment="1">
      <alignment horizontal="center"/>
    </xf>
    <xf numFmtId="0" fontId="72" fillId="0" borderId="17" xfId="39" applyFont="1" applyBorder="1" applyAlignment="1">
      <alignment vertical="center"/>
    </xf>
    <xf numFmtId="0" fontId="76" fillId="0" borderId="0" xfId="39" applyFont="1" applyBorder="1"/>
    <xf numFmtId="0" fontId="43" fillId="26" borderId="0" xfId="39" applyFont="1" applyFill="1" applyBorder="1" applyAlignment="1">
      <alignment horizontal="left" vertical="center"/>
    </xf>
    <xf numFmtId="0" fontId="43" fillId="26" borderId="16" xfId="39" applyFont="1" applyFill="1" applyBorder="1" applyAlignment="1">
      <alignment horizontal="left" vertical="center"/>
    </xf>
    <xf numFmtId="0" fontId="72" fillId="0" borderId="38" xfId="39" applyFont="1" applyBorder="1" applyAlignment="1">
      <alignment horizontal="center"/>
    </xf>
    <xf numFmtId="0" fontId="45" fillId="0" borderId="14" xfId="39" applyFont="1" applyBorder="1" applyAlignment="1">
      <alignment horizontal="center"/>
    </xf>
    <xf numFmtId="0" fontId="79" fillId="0" borderId="0" xfId="39" applyFont="1" applyFill="1" applyBorder="1" applyAlignment="1">
      <alignment horizontal="left" vertical="center"/>
    </xf>
    <xf numFmtId="0" fontId="17" fillId="0" borderId="0" xfId="39" applyFont="1" applyBorder="1"/>
    <xf numFmtId="0" fontId="17" fillId="0" borderId="0" xfId="39" applyFont="1" applyFill="1" applyBorder="1" applyAlignment="1">
      <alignment horizontal="left" vertical="center"/>
    </xf>
    <xf numFmtId="0" fontId="83" fillId="0" borderId="0" xfId="39" applyFont="1" applyBorder="1" applyAlignment="1"/>
    <xf numFmtId="1" fontId="18" fillId="0" borderId="11" xfId="0" applyNumberFormat="1" applyFont="1" applyBorder="1" applyAlignment="1">
      <alignment horizontal="left"/>
    </xf>
    <xf numFmtId="1" fontId="18" fillId="0" borderId="17" xfId="0" applyNumberFormat="1" applyFont="1" applyBorder="1" applyAlignment="1">
      <alignment horizontal="left"/>
    </xf>
    <xf numFmtId="1" fontId="13" fillId="0" borderId="17" xfId="0" applyNumberFormat="1" applyFont="1" applyBorder="1" applyAlignment="1">
      <alignment horizontal="left"/>
    </xf>
    <xf numFmtId="2" fontId="0" fillId="0" borderId="12" xfId="0" applyNumberFormat="1" applyBorder="1"/>
    <xf numFmtId="0" fontId="73" fillId="0" borderId="0" xfId="39" quotePrefix="1" applyFont="1" applyBorder="1" applyAlignment="1">
      <alignment horizontal="center"/>
    </xf>
    <xf numFmtId="0" fontId="72" fillId="0" borderId="0" xfId="39" applyFont="1" applyBorder="1" applyAlignment="1"/>
    <xf numFmtId="0" fontId="77" fillId="0" borderId="0" xfId="39" applyFont="1" applyBorder="1" applyAlignment="1"/>
    <xf numFmtId="2" fontId="72" fillId="27" borderId="0" xfId="39" applyNumberFormat="1" applyFont="1" applyFill="1" applyBorder="1" applyAlignment="1">
      <alignment horizontal="center" shrinkToFit="1"/>
    </xf>
    <xf numFmtId="1" fontId="18" fillId="0" borderId="10" xfId="0" applyNumberFormat="1" applyFont="1" applyBorder="1" applyAlignment="1">
      <alignment horizontal="left"/>
    </xf>
    <xf numFmtId="0" fontId="17" fillId="0" borderId="0" xfId="40" applyNumberFormat="1" applyFont="1" applyFill="1" applyBorder="1" applyAlignment="1" applyProtection="1">
      <alignment vertical="top"/>
    </xf>
    <xf numFmtId="0" fontId="17" fillId="0" borderId="0" xfId="40" applyNumberFormat="1" applyFont="1" applyFill="1" applyBorder="1" applyAlignment="1" applyProtection="1">
      <alignment horizontal="left" vertical="top"/>
    </xf>
    <xf numFmtId="0" fontId="17" fillId="0" borderId="0" xfId="40" applyNumberFormat="1" applyFont="1" applyFill="1" applyBorder="1" applyAlignment="1" applyProtection="1">
      <alignment horizontal="center" vertical="top"/>
    </xf>
    <xf numFmtId="0" fontId="17" fillId="0" borderId="38" xfId="40" applyNumberFormat="1" applyFont="1" applyFill="1" applyBorder="1" applyAlignment="1" applyProtection="1">
      <alignment horizontal="left" vertical="top"/>
    </xf>
    <xf numFmtId="0" fontId="17" fillId="0" borderId="31" xfId="40" applyNumberFormat="1" applyFont="1" applyFill="1" applyBorder="1" applyAlignment="1" applyProtection="1">
      <alignment horizontal="center" vertical="top"/>
    </xf>
    <xf numFmtId="0" fontId="17" fillId="0" borderId="37" xfId="40" applyNumberFormat="1" applyFont="1" applyFill="1" applyBorder="1" applyAlignment="1" applyProtection="1">
      <alignment horizontal="left" vertical="top"/>
    </xf>
    <xf numFmtId="0" fontId="17" fillId="0" borderId="37" xfId="40" applyNumberFormat="1" applyFont="1" applyFill="1" applyBorder="1" applyAlignment="1" applyProtection="1">
      <alignment vertical="top"/>
    </xf>
    <xf numFmtId="0" fontId="17" fillId="0" borderId="36" xfId="40" applyNumberFormat="1" applyFont="1" applyFill="1" applyBorder="1" applyAlignment="1" applyProtection="1">
      <alignment horizontal="left" vertical="top"/>
    </xf>
    <xf numFmtId="0" fontId="17" fillId="0" borderId="36" xfId="40" applyNumberFormat="1" applyFont="1" applyFill="1" applyBorder="1" applyAlignment="1" applyProtection="1">
      <alignment horizontal="center" vertical="top"/>
    </xf>
    <xf numFmtId="0" fontId="17" fillId="0" borderId="40" xfId="40" applyNumberFormat="1" applyFont="1" applyFill="1" applyBorder="1" applyAlignment="1" applyProtection="1">
      <alignment horizontal="left" vertical="top"/>
    </xf>
    <xf numFmtId="0" fontId="17" fillId="0" borderId="40" xfId="40" applyNumberFormat="1" applyFont="1" applyFill="1" applyBorder="1" applyAlignment="1" applyProtection="1">
      <alignment horizontal="center" vertical="top"/>
    </xf>
    <xf numFmtId="0" fontId="17" fillId="0" borderId="31" xfId="40" applyNumberFormat="1" applyFont="1" applyFill="1" applyBorder="1" applyAlignment="1" applyProtection="1">
      <alignment horizontal="left"/>
    </xf>
    <xf numFmtId="0" fontId="17" fillId="0" borderId="17" xfId="40" applyNumberFormat="1" applyFont="1" applyFill="1" applyBorder="1" applyAlignment="1" applyProtection="1">
      <alignment horizontal="left"/>
    </xf>
    <xf numFmtId="0" fontId="17" fillId="0" borderId="37" xfId="40" applyNumberFormat="1" applyFont="1" applyFill="1" applyBorder="1" applyAlignment="1" applyProtection="1">
      <alignment horizontal="center" vertical="top"/>
    </xf>
    <xf numFmtId="0" fontId="17" fillId="0" borderId="38" xfId="40" applyNumberFormat="1" applyFont="1" applyFill="1" applyBorder="1" applyAlignment="1" applyProtection="1">
      <alignment vertical="top"/>
    </xf>
    <xf numFmtId="0" fontId="17" fillId="0" borderId="31" xfId="40" applyNumberFormat="1" applyFont="1" applyFill="1" applyBorder="1" applyAlignment="1" applyProtection="1">
      <alignment horizontal="left" vertical="top"/>
    </xf>
    <xf numFmtId="0" fontId="17" fillId="0" borderId="17" xfId="40" applyNumberFormat="1" applyFont="1" applyFill="1" applyBorder="1" applyAlignment="1" applyProtection="1">
      <alignment horizontal="left" vertical="top"/>
    </xf>
    <xf numFmtId="0" fontId="17" fillId="0" borderId="39" xfId="40" applyNumberFormat="1" applyFont="1" applyFill="1" applyBorder="1" applyAlignment="1" applyProtection="1">
      <alignment horizontal="left" vertical="top"/>
    </xf>
    <xf numFmtId="0" fontId="17" fillId="0" borderId="39" xfId="40" applyNumberFormat="1" applyFont="1" applyFill="1" applyBorder="1" applyAlignment="1" applyProtection="1">
      <alignment horizontal="center" vertical="top"/>
    </xf>
    <xf numFmtId="0" fontId="17" fillId="0" borderId="32" xfId="40" applyNumberFormat="1" applyFont="1" applyFill="1" applyBorder="1" applyAlignment="1" applyProtection="1">
      <alignment horizontal="left" vertical="top"/>
    </xf>
    <xf numFmtId="0" fontId="17" fillId="0" borderId="37" xfId="40" applyNumberFormat="1" applyFont="1" applyFill="1" applyBorder="1" applyAlignment="1" applyProtection="1">
      <alignment horizontal="left" vertical="center"/>
    </xf>
    <xf numFmtId="0" fontId="17" fillId="0" borderId="18" xfId="40" applyNumberFormat="1" applyFont="1" applyFill="1" applyBorder="1" applyAlignment="1" applyProtection="1">
      <alignment horizontal="left" vertical="top"/>
    </xf>
    <xf numFmtId="0" fontId="17" fillId="0" borderId="37" xfId="40" applyNumberFormat="1" applyFont="1" applyFill="1" applyBorder="1" applyAlignment="1" applyProtection="1">
      <alignment horizontal="center" vertical="center"/>
    </xf>
    <xf numFmtId="0" fontId="17" fillId="0" borderId="17" xfId="40" applyNumberFormat="1" applyFont="1" applyFill="1" applyBorder="1" applyAlignment="1" applyProtection="1">
      <alignment horizontal="center" vertical="top"/>
    </xf>
    <xf numFmtId="0" fontId="17" fillId="0" borderId="15" xfId="40" applyNumberFormat="1" applyFont="1" applyFill="1" applyBorder="1" applyAlignment="1" applyProtection="1">
      <alignment vertical="top"/>
    </xf>
    <xf numFmtId="0" fontId="17" fillId="0" borderId="38" xfId="40" applyNumberFormat="1" applyFont="1" applyFill="1" applyBorder="1" applyAlignment="1" applyProtection="1">
      <alignment horizontal="left"/>
    </xf>
    <xf numFmtId="0" fontId="17" fillId="0" borderId="37" xfId="40" applyNumberFormat="1" applyFont="1" applyFill="1" applyBorder="1" applyAlignment="1" applyProtection="1">
      <alignment horizontal="center"/>
    </xf>
    <xf numFmtId="0" fontId="18" fillId="0" borderId="0" xfId="40" applyNumberFormat="1" applyFont="1" applyFill="1" applyBorder="1" applyAlignment="1" applyProtection="1">
      <alignment horizontal="left" vertical="top"/>
    </xf>
    <xf numFmtId="0" fontId="17" fillId="0" borderId="16" xfId="40" applyNumberFormat="1" applyFont="1" applyFill="1" applyBorder="1" applyAlignment="1" applyProtection="1">
      <alignment horizontal="left" vertical="top"/>
    </xf>
    <xf numFmtId="0" fontId="45" fillId="0" borderId="0" xfId="39" applyFont="1" applyBorder="1" applyAlignment="1">
      <alignment horizontal="center"/>
    </xf>
    <xf numFmtId="0" fontId="80" fillId="0" borderId="0" xfId="39" applyNumberFormat="1" applyFont="1" applyBorder="1" applyAlignment="1">
      <alignment horizontal="center" vertical="center"/>
    </xf>
    <xf numFmtId="0" fontId="45" fillId="0" borderId="0" xfId="39" applyFont="1" applyFill="1" applyBorder="1" applyAlignment="1">
      <alignment horizontal="center" vertical="center"/>
    </xf>
    <xf numFmtId="0" fontId="45" fillId="0" borderId="0" xfId="39" applyFont="1" applyBorder="1" applyAlignment="1">
      <alignment vertical="center"/>
    </xf>
    <xf numFmtId="0" fontId="17" fillId="0" borderId="32" xfId="40" applyNumberFormat="1" applyFont="1" applyFill="1" applyBorder="1" applyAlignment="1" applyProtection="1">
      <alignment horizontal="center" vertical="top"/>
    </xf>
    <xf numFmtId="0" fontId="17" fillId="0" borderId="15" xfId="40" applyNumberFormat="1" applyFont="1" applyFill="1" applyBorder="1" applyAlignment="1" applyProtection="1">
      <alignment horizontal="center" vertical="top"/>
    </xf>
    <xf numFmtId="0" fontId="17" fillId="0" borderId="18" xfId="40" applyNumberFormat="1" applyFont="1" applyFill="1" applyBorder="1" applyAlignment="1" applyProtection="1">
      <alignment horizontal="center" vertical="top"/>
    </xf>
    <xf numFmtId="0" fontId="17" fillId="0" borderId="14" xfId="40" applyNumberFormat="1" applyFont="1" applyFill="1" applyBorder="1" applyAlignment="1" applyProtection="1">
      <alignment horizontal="left" vertical="top"/>
    </xf>
    <xf numFmtId="0" fontId="17" fillId="0" borderId="40" xfId="40" applyNumberFormat="1" applyFont="1" applyFill="1" applyBorder="1" applyAlignment="1" applyProtection="1">
      <alignment horizontal="center" wrapText="1"/>
    </xf>
    <xf numFmtId="0" fontId="17" fillId="0" borderId="40" xfId="40" applyNumberFormat="1" applyFont="1" applyFill="1" applyBorder="1" applyAlignment="1" applyProtection="1">
      <alignment horizontal="center" vertical="top" wrapText="1"/>
    </xf>
    <xf numFmtId="0" fontId="17" fillId="0" borderId="40" xfId="40" applyNumberFormat="1" applyFont="1" applyFill="1" applyBorder="1" applyAlignment="1" applyProtection="1">
      <alignment horizontal="center"/>
    </xf>
    <xf numFmtId="0" fontId="17" fillId="0" borderId="14" xfId="40" applyNumberFormat="1" applyFont="1" applyFill="1" applyBorder="1" applyAlignment="1" applyProtection="1">
      <alignment horizontal="left"/>
    </xf>
    <xf numFmtId="0" fontId="17" fillId="0" borderId="11" xfId="40" applyNumberFormat="1" applyFont="1" applyFill="1" applyBorder="1" applyAlignment="1" applyProtection="1">
      <alignment horizontal="center" vertical="top"/>
    </xf>
    <xf numFmtId="0" fontId="17" fillId="0" borderId="37" xfId="40" applyNumberFormat="1" applyFont="1" applyFill="1" applyBorder="1" applyAlignment="1" applyProtection="1">
      <alignment vertical="center"/>
    </xf>
    <xf numFmtId="0" fontId="17" fillId="0" borderId="0" xfId="40" applyNumberFormat="1" applyFont="1" applyFill="1" applyBorder="1" applyAlignment="1" applyProtection="1">
      <alignment horizontal="left"/>
    </xf>
    <xf numFmtId="0" fontId="17" fillId="0" borderId="17" xfId="40" applyNumberFormat="1" applyFont="1" applyFill="1" applyBorder="1" applyAlignment="1" applyProtection="1">
      <alignment horizontal="center" vertical="center"/>
    </xf>
    <xf numFmtId="0" fontId="17" fillId="0" borderId="35" xfId="40" applyNumberFormat="1" applyFont="1" applyFill="1" applyBorder="1" applyAlignment="1" applyProtection="1">
      <alignment horizontal="center" vertical="top"/>
    </xf>
    <xf numFmtId="0" fontId="79" fillId="26" borderId="0" xfId="39" applyFont="1" applyFill="1" applyBorder="1" applyAlignment="1">
      <alignment horizontal="left" vertical="center"/>
    </xf>
    <xf numFmtId="0" fontId="14" fillId="0" borderId="0" xfId="40" applyNumberFormat="1" applyFont="1" applyFill="1" applyBorder="1" applyAlignment="1" applyProtection="1">
      <alignment horizontal="left" vertical="top"/>
    </xf>
    <xf numFmtId="0" fontId="17" fillId="0" borderId="37" xfId="40" applyNumberFormat="1" applyFont="1" applyFill="1" applyBorder="1" applyAlignment="1" applyProtection="1">
      <alignment horizontal="center" vertical="top" wrapText="1"/>
    </xf>
    <xf numFmtId="0" fontId="72" fillId="0" borderId="37" xfId="39" applyFont="1" applyBorder="1" applyAlignment="1"/>
    <xf numFmtId="0" fontId="17" fillId="0" borderId="40" xfId="40" applyNumberFormat="1" applyFont="1" applyFill="1" applyBorder="1" applyAlignment="1" applyProtection="1">
      <alignment horizontal="center" vertical="center"/>
    </xf>
    <xf numFmtId="0" fontId="18" fillId="0" borderId="0" xfId="40" applyNumberFormat="1" applyFont="1" applyFill="1" applyBorder="1" applyAlignment="1" applyProtection="1">
      <alignment horizontal="left"/>
    </xf>
    <xf numFmtId="0" fontId="17" fillId="0" borderId="39" xfId="40" applyNumberFormat="1" applyFont="1" applyFill="1" applyBorder="1" applyAlignment="1" applyProtection="1">
      <alignment horizontal="center"/>
    </xf>
    <xf numFmtId="0" fontId="14" fillId="0" borderId="14" xfId="40" applyNumberFormat="1" applyFont="1" applyFill="1" applyBorder="1" applyAlignment="1" applyProtection="1">
      <alignment horizontal="left" vertical="top"/>
    </xf>
    <xf numFmtId="0" fontId="82" fillId="0" borderId="31" xfId="41" applyNumberFormat="1" applyFont="1" applyFill="1" applyBorder="1" applyAlignment="1" applyProtection="1">
      <alignment horizontal="left" vertical="top"/>
    </xf>
    <xf numFmtId="0" fontId="17" fillId="0" borderId="0" xfId="39" applyFont="1" applyFill="1" applyBorder="1" applyAlignment="1">
      <alignment horizontal="center" vertical="center"/>
    </xf>
    <xf numFmtId="0" fontId="82" fillId="0" borderId="0" xfId="41" applyNumberFormat="1" applyFont="1" applyFill="1" applyBorder="1" applyAlignment="1" applyProtection="1">
      <alignment horizontal="left" vertical="top"/>
    </xf>
    <xf numFmtId="0" fontId="72" fillId="0" borderId="18" xfId="39" applyFont="1" applyBorder="1" applyAlignment="1">
      <alignment horizontal="center" vertical="center"/>
    </xf>
    <xf numFmtId="0" fontId="82" fillId="0" borderId="14" xfId="41" applyNumberFormat="1" applyFont="1" applyFill="1" applyBorder="1" applyAlignment="1" applyProtection="1">
      <alignment horizontal="left" vertical="top"/>
    </xf>
    <xf numFmtId="0" fontId="17" fillId="0" borderId="37" xfId="39" applyFont="1" applyFill="1" applyBorder="1" applyAlignment="1">
      <alignment horizontal="center" vertical="center"/>
    </xf>
    <xf numFmtId="0" fontId="43" fillId="0" borderId="0" xfId="39" applyFont="1" applyFill="1" applyBorder="1" applyAlignment="1">
      <alignment horizontal="center" vertical="center"/>
    </xf>
    <xf numFmtId="0" fontId="17" fillId="0" borderId="37" xfId="39" applyFont="1" applyBorder="1" applyAlignment="1">
      <alignment horizontal="center"/>
    </xf>
    <xf numFmtId="0" fontId="17" fillId="0" borderId="40" xfId="39" applyFont="1" applyFill="1" applyBorder="1" applyAlignment="1">
      <alignment horizontal="center" vertical="center"/>
    </xf>
    <xf numFmtId="0" fontId="74" fillId="0" borderId="37" xfId="39" applyFont="1" applyBorder="1"/>
    <xf numFmtId="0" fontId="14" fillId="0" borderId="37" xfId="40" applyNumberFormat="1" applyFont="1" applyFill="1" applyBorder="1" applyAlignment="1" applyProtection="1">
      <alignment horizontal="left" vertical="top"/>
    </xf>
    <xf numFmtId="0" fontId="12" fillId="0" borderId="31" xfId="40" applyNumberFormat="1" applyFont="1" applyFill="1" applyBorder="1" applyAlignment="1" applyProtection="1">
      <alignment horizontal="left" vertical="top"/>
    </xf>
    <xf numFmtId="1" fontId="18" fillId="0" borderId="35" xfId="0" applyNumberFormat="1" applyFont="1" applyBorder="1" applyAlignment="1">
      <alignment horizontal="left"/>
    </xf>
    <xf numFmtId="0" fontId="17" fillId="0" borderId="15" xfId="40" applyNumberFormat="1" applyFont="1" applyFill="1" applyBorder="1" applyAlignment="1" applyProtection="1">
      <alignment horizontal="left" vertical="top"/>
    </xf>
    <xf numFmtId="0" fontId="17" fillId="0" borderId="16" xfId="40" applyNumberFormat="1" applyFont="1" applyFill="1" applyBorder="1" applyAlignment="1" applyProtection="1">
      <alignment horizontal="center" vertical="top"/>
    </xf>
    <xf numFmtId="0" fontId="17" fillId="0" borderId="14" xfId="40" applyNumberFormat="1" applyFont="1" applyFill="1" applyBorder="1" applyAlignment="1" applyProtection="1">
      <alignment horizontal="center" vertical="top"/>
    </xf>
    <xf numFmtId="0" fontId="17" fillId="0" borderId="39" xfId="40" applyNumberFormat="1" applyFont="1" applyFill="1" applyBorder="1" applyAlignment="1" applyProtection="1">
      <alignment vertical="top"/>
    </xf>
    <xf numFmtId="0" fontId="78" fillId="0" borderId="14" xfId="40" applyNumberFormat="1" applyFont="1" applyFill="1" applyBorder="1" applyAlignment="1" applyProtection="1">
      <alignment vertical="top"/>
    </xf>
    <xf numFmtId="0" fontId="17" fillId="0" borderId="18" xfId="40" applyNumberFormat="1" applyFont="1" applyFill="1" applyBorder="1" applyAlignment="1" applyProtection="1">
      <alignment vertical="top"/>
    </xf>
    <xf numFmtId="0" fontId="17" fillId="0" borderId="10" xfId="40" applyNumberFormat="1" applyFont="1" applyFill="1" applyBorder="1" applyAlignment="1" applyProtection="1">
      <alignment horizontal="center" vertical="top"/>
    </xf>
    <xf numFmtId="0" fontId="17" fillId="0" borderId="31" xfId="40" applyNumberFormat="1" applyFont="1" applyFill="1" applyBorder="1" applyAlignment="1" applyProtection="1">
      <alignment horizontal="center"/>
    </xf>
    <xf numFmtId="0" fontId="17" fillId="0" borderId="32" xfId="40" applyNumberFormat="1" applyFont="1" applyFill="1" applyBorder="1" applyAlignment="1" applyProtection="1">
      <alignment horizontal="left" vertical="center"/>
    </xf>
    <xf numFmtId="0" fontId="17" fillId="0" borderId="16" xfId="40" applyNumberFormat="1" applyFont="1" applyFill="1" applyBorder="1" applyAlignment="1" applyProtection="1">
      <alignment horizontal="left" vertical="top" wrapText="1"/>
    </xf>
    <xf numFmtId="0" fontId="0" fillId="0" borderId="16" xfId="0" applyBorder="1" applyAlignment="1">
      <alignment horizontal="left"/>
    </xf>
    <xf numFmtId="0" fontId="17" fillId="0" borderId="11" xfId="40" applyNumberFormat="1" applyFont="1" applyFill="1" applyBorder="1" applyAlignment="1" applyProtection="1">
      <alignment horizontal="left" vertical="top"/>
    </xf>
    <xf numFmtId="0" fontId="14" fillId="0" borderId="18" xfId="40" applyNumberFormat="1" applyFont="1" applyFill="1" applyBorder="1" applyAlignment="1" applyProtection="1">
      <alignment horizontal="left" vertical="top"/>
    </xf>
    <xf numFmtId="0" fontId="14" fillId="0" borderId="11" xfId="40" applyNumberFormat="1" applyFont="1" applyFill="1" applyBorder="1" applyAlignment="1" applyProtection="1">
      <alignment horizontal="left" vertical="top"/>
    </xf>
    <xf numFmtId="0" fontId="45" fillId="0" borderId="16" xfId="39" applyFont="1" applyBorder="1" applyAlignment="1">
      <alignment horizontal="center"/>
    </xf>
    <xf numFmtId="0" fontId="17" fillId="0" borderId="18" xfId="40" applyNumberFormat="1" applyFont="1" applyFill="1" applyBorder="1" applyAlignment="1" applyProtection="1">
      <alignment horizontal="left" vertical="center"/>
    </xf>
    <xf numFmtId="0" fontId="17" fillId="0" borderId="14" xfId="40" applyNumberFormat="1" applyFont="1" applyFill="1" applyBorder="1" applyAlignment="1" applyProtection="1">
      <alignment horizontal="left" vertical="top" wrapText="1"/>
    </xf>
    <xf numFmtId="0" fontId="12" fillId="0" borderId="0" xfId="40" applyNumberFormat="1" applyFont="1" applyFill="1" applyBorder="1" applyAlignment="1" applyProtection="1">
      <alignment vertical="top"/>
    </xf>
    <xf numFmtId="0" fontId="14" fillId="0" borderId="18" xfId="40" applyNumberFormat="1" applyFont="1" applyFill="1" applyBorder="1" applyAlignment="1" applyProtection="1">
      <alignment horizontal="left" vertical="center"/>
    </xf>
    <xf numFmtId="0" fontId="17" fillId="0" borderId="10" xfId="40" applyNumberFormat="1" applyFont="1" applyFill="1" applyBorder="1" applyAlignment="1" applyProtection="1">
      <alignment horizontal="left" vertical="top"/>
    </xf>
    <xf numFmtId="0" fontId="17" fillId="0" borderId="39" xfId="40" applyNumberFormat="1" applyFont="1" applyFill="1" applyBorder="1" applyAlignment="1" applyProtection="1">
      <alignment horizontal="center" vertical="center"/>
    </xf>
    <xf numFmtId="1" fontId="18" fillId="0" borderId="31" xfId="0" applyNumberFormat="1" applyFont="1" applyBorder="1" applyAlignment="1">
      <alignment horizontal="left"/>
    </xf>
    <xf numFmtId="1" fontId="18" fillId="0" borderId="31" xfId="0" applyNumberFormat="1" applyFont="1" applyBorder="1" applyAlignment="1">
      <alignment horizontal="left" vertical="center"/>
    </xf>
    <xf numFmtId="0" fontId="72" fillId="0" borderId="39" xfId="39" applyFont="1" applyBorder="1" applyAlignment="1">
      <alignment vertical="center"/>
    </xf>
    <xf numFmtId="1" fontId="18" fillId="0" borderId="35" xfId="0" applyNumberFormat="1" applyFont="1" applyBorder="1" applyAlignment="1">
      <alignment horizontal="left" vertical="center"/>
    </xf>
    <xf numFmtId="0" fontId="18" fillId="0" borderId="31" xfId="40" applyNumberFormat="1" applyFont="1" applyFill="1" applyBorder="1" applyAlignment="1" applyProtection="1">
      <alignment horizontal="left"/>
    </xf>
    <xf numFmtId="0" fontId="79" fillId="0" borderId="39" xfId="39" applyFont="1" applyFill="1" applyBorder="1" applyAlignment="1">
      <alignment horizontal="left" vertical="center"/>
    </xf>
    <xf numFmtId="0" fontId="72" fillId="0" borderId="11" xfId="39" applyFont="1" applyBorder="1" applyAlignment="1">
      <alignment horizontal="center" vertical="center" textRotation="90"/>
    </xf>
    <xf numFmtId="1" fontId="18" fillId="0" borderId="16" xfId="0" applyNumberFormat="1" applyFont="1" applyBorder="1" applyAlignment="1">
      <alignment horizontal="left"/>
    </xf>
    <xf numFmtId="0" fontId="73" fillId="0" borderId="0" xfId="39" applyFont="1" applyBorder="1" applyAlignment="1">
      <alignment horizontal="left" vertical="center"/>
    </xf>
    <xf numFmtId="0" fontId="73" fillId="0" borderId="10" xfId="39" applyFont="1" applyBorder="1" applyAlignment="1">
      <alignment horizontal="center" vertical="center"/>
    </xf>
    <xf numFmtId="0" fontId="14" fillId="0" borderId="38" xfId="40" applyNumberFormat="1" applyFont="1" applyFill="1" applyBorder="1" applyAlignment="1" applyProtection="1">
      <alignment horizontal="left" vertical="top"/>
    </xf>
    <xf numFmtId="0" fontId="73" fillId="0" borderId="17" xfId="39" applyFont="1" applyBorder="1" applyAlignment="1">
      <alignment horizontal="left" vertical="center"/>
    </xf>
    <xf numFmtId="1" fontId="18" fillId="0" borderId="16" xfId="0" applyNumberFormat="1" applyFont="1" applyBorder="1" applyAlignment="1">
      <alignment horizontal="left" vertical="center"/>
    </xf>
    <xf numFmtId="0" fontId="73" fillId="0" borderId="31" xfId="39" applyFont="1" applyBorder="1" applyAlignment="1">
      <alignment horizontal="left" vertical="center"/>
    </xf>
    <xf numFmtId="0" fontId="82" fillId="0" borderId="17" xfId="41" applyNumberFormat="1" applyFont="1" applyFill="1" applyBorder="1" applyAlignment="1" applyProtection="1">
      <alignment horizontal="left" vertical="top"/>
    </xf>
    <xf numFmtId="0" fontId="17" fillId="0" borderId="36" xfId="39" applyFont="1" applyFill="1" applyBorder="1" applyAlignment="1">
      <alignment horizontal="center" vertical="center"/>
    </xf>
    <xf numFmtId="0" fontId="14" fillId="0" borderId="39" xfId="40" applyNumberFormat="1" applyFont="1" applyFill="1" applyBorder="1" applyAlignment="1" applyProtection="1">
      <alignment horizontal="left" vertical="top"/>
    </xf>
    <xf numFmtId="0" fontId="17" fillId="0" borderId="17" xfId="39" applyFont="1" applyBorder="1" applyAlignment="1">
      <alignment horizontal="center"/>
    </xf>
    <xf numFmtId="0" fontId="17" fillId="0" borderId="31" xfId="39" applyFont="1" applyBorder="1"/>
    <xf numFmtId="0" fontId="17" fillId="0" borderId="39" xfId="39" applyFont="1" applyBorder="1" applyAlignment="1">
      <alignment horizontal="center"/>
    </xf>
    <xf numFmtId="0" fontId="78" fillId="0" borderId="18" xfId="40" applyNumberFormat="1" applyFont="1" applyFill="1" applyBorder="1" applyAlignment="1" applyProtection="1">
      <alignment horizontal="left" vertical="top"/>
    </xf>
    <xf numFmtId="0" fontId="17" fillId="0" borderId="17" xfId="39" applyFont="1" applyBorder="1" applyAlignment="1">
      <alignment horizontal="center" vertical="center"/>
    </xf>
    <xf numFmtId="0" fontId="18" fillId="0" borderId="17" xfId="39" applyFont="1" applyBorder="1" applyAlignment="1">
      <alignment horizontal="left" vertical="center"/>
    </xf>
    <xf numFmtId="0" fontId="17" fillId="0" borderId="37" xfId="39" applyFont="1" applyBorder="1" applyAlignment="1">
      <alignment horizontal="center" vertical="center"/>
    </xf>
    <xf numFmtId="1" fontId="13" fillId="0" borderId="31" xfId="0" applyNumberFormat="1" applyFont="1" applyBorder="1" applyAlignment="1">
      <alignment horizontal="left"/>
    </xf>
    <xf numFmtId="0" fontId="72" fillId="0" borderId="16" xfId="39" applyFont="1" applyBorder="1" applyAlignment="1"/>
    <xf numFmtId="1" fontId="13" fillId="0" borderId="17" xfId="0" applyNumberFormat="1" applyFont="1" applyBorder="1" applyAlignment="1">
      <alignment horizontal="left" vertical="center"/>
    </xf>
    <xf numFmtId="2" fontId="72" fillId="27" borderId="16" xfId="39" applyNumberFormat="1" applyFont="1" applyFill="1" applyBorder="1" applyAlignment="1">
      <alignment horizontal="center" shrinkToFit="1"/>
    </xf>
    <xf numFmtId="0" fontId="83" fillId="0" borderId="16" xfId="39" applyFont="1" applyBorder="1" applyAlignment="1"/>
    <xf numFmtId="0" fontId="77" fillId="0" borderId="16" xfId="39" applyFont="1" applyBorder="1" applyAlignment="1"/>
    <xf numFmtId="0" fontId="82" fillId="0" borderId="16" xfId="41" applyNumberFormat="1" applyFont="1" applyFill="1" applyBorder="1" applyAlignment="1" applyProtection="1">
      <alignment horizontal="left" vertical="top"/>
    </xf>
    <xf numFmtId="0" fontId="29" fillId="0" borderId="37" xfId="40" applyNumberFormat="1" applyFont="1" applyFill="1" applyBorder="1" applyAlignment="1" applyProtection="1">
      <alignment horizontal="left" vertical="top"/>
    </xf>
    <xf numFmtId="0" fontId="39" fillId="0" borderId="37" xfId="40" applyNumberFormat="1" applyFont="1" applyFill="1" applyBorder="1" applyAlignment="1" applyProtection="1">
      <alignment horizontal="left" vertical="top"/>
    </xf>
    <xf numFmtId="0" fontId="6" fillId="0" borderId="38" xfId="40" applyNumberFormat="1" applyFont="1" applyFill="1" applyBorder="1" applyAlignment="1" applyProtection="1">
      <alignment horizontal="left" vertical="top"/>
    </xf>
    <xf numFmtId="0" fontId="39" fillId="0" borderId="39" xfId="40" applyNumberFormat="1" applyFont="1" applyFill="1" applyBorder="1" applyAlignment="1" applyProtection="1">
      <alignment horizontal="left" vertical="top"/>
    </xf>
    <xf numFmtId="0" fontId="73" fillId="0" borderId="17" xfId="39" applyFont="1" applyBorder="1" applyAlignment="1">
      <alignment horizontal="left"/>
    </xf>
    <xf numFmtId="1" fontId="13" fillId="0" borderId="31" xfId="0" applyNumberFormat="1" applyFont="1" applyBorder="1" applyAlignment="1">
      <alignment horizontal="left" vertical="center"/>
    </xf>
    <xf numFmtId="1" fontId="18" fillId="0" borderId="11" xfId="0" applyNumberFormat="1" applyFont="1" applyBorder="1" applyAlignment="1">
      <alignment horizontal="left" vertical="center"/>
    </xf>
    <xf numFmtId="1" fontId="18" fillId="0" borderId="17" xfId="0" applyNumberFormat="1" applyFont="1" applyBorder="1" applyAlignment="1">
      <alignment horizontal="left" vertical="center"/>
    </xf>
    <xf numFmtId="0" fontId="17" fillId="0" borderId="39" xfId="40" applyNumberFormat="1" applyFont="1" applyFill="1" applyBorder="1" applyAlignment="1" applyProtection="1">
      <alignment horizontal="center" wrapText="1"/>
    </xf>
    <xf numFmtId="0" fontId="19" fillId="0" borderId="15" xfId="40" applyNumberFormat="1" applyFont="1" applyFill="1" applyBorder="1" applyAlignment="1" applyProtection="1">
      <alignment horizontal="left" vertical="center"/>
    </xf>
    <xf numFmtId="0" fontId="19" fillId="0" borderId="37" xfId="40" applyNumberFormat="1" applyFont="1" applyFill="1" applyBorder="1" applyAlignment="1" applyProtection="1">
      <alignment horizontal="left" vertical="top"/>
    </xf>
    <xf numFmtId="0" fontId="72" fillId="0" borderId="31" xfId="39" applyFont="1" applyBorder="1" applyAlignment="1">
      <alignment horizontal="right"/>
    </xf>
    <xf numFmtId="0" fontId="45" fillId="0" borderId="0" xfId="0" applyFont="1" applyAlignment="1">
      <alignment horizontal="center"/>
    </xf>
    <xf numFmtId="0" fontId="87" fillId="0" borderId="0" xfId="0" applyFont="1"/>
    <xf numFmtId="0" fontId="88" fillId="0" borderId="0" xfId="39" applyFont="1" applyBorder="1"/>
    <xf numFmtId="0" fontId="84" fillId="0" borderId="15" xfId="40" applyNumberFormat="1" applyFont="1" applyFill="1" applyBorder="1" applyAlignment="1" applyProtection="1">
      <alignment vertical="top"/>
    </xf>
    <xf numFmtId="0" fontId="84" fillId="0" borderId="15" xfId="40" applyNumberFormat="1" applyFont="1" applyFill="1" applyBorder="1" applyAlignment="1" applyProtection="1">
      <alignment horizontal="left" vertical="top"/>
    </xf>
    <xf numFmtId="0" fontId="84" fillId="0" borderId="38" xfId="40" applyNumberFormat="1" applyFont="1" applyFill="1" applyBorder="1" applyAlignment="1" applyProtection="1">
      <alignment horizontal="left" vertical="top"/>
    </xf>
    <xf numFmtId="0" fontId="84" fillId="0" borderId="37" xfId="40" applyNumberFormat="1" applyFont="1" applyFill="1" applyBorder="1" applyAlignment="1" applyProtection="1">
      <alignment horizontal="left" vertical="top"/>
    </xf>
    <xf numFmtId="0" fontId="84" fillId="0" borderId="37" xfId="40" applyNumberFormat="1" applyFont="1" applyFill="1" applyBorder="1" applyAlignment="1" applyProtection="1">
      <alignment horizontal="left"/>
    </xf>
    <xf numFmtId="0" fontId="84" fillId="0" borderId="39" xfId="40" applyNumberFormat="1" applyFont="1" applyFill="1" applyBorder="1" applyAlignment="1" applyProtection="1">
      <alignment horizontal="left"/>
    </xf>
    <xf numFmtId="0" fontId="84" fillId="0" borderId="32" xfId="40" applyNumberFormat="1" applyFont="1" applyFill="1" applyBorder="1" applyAlignment="1" applyProtection="1">
      <alignment horizontal="left" vertical="center"/>
    </xf>
    <xf numFmtId="0" fontId="84" fillId="0" borderId="0" xfId="40" applyNumberFormat="1" applyFont="1" applyFill="1" applyBorder="1" applyAlignment="1" applyProtection="1">
      <alignment horizontal="left" vertical="top"/>
    </xf>
    <xf numFmtId="0" fontId="84" fillId="0" borderId="0" xfId="40" applyNumberFormat="1" applyFont="1" applyFill="1" applyBorder="1" applyAlignment="1" applyProtection="1">
      <alignment horizontal="left"/>
    </xf>
    <xf numFmtId="0" fontId="84" fillId="0" borderId="31" xfId="40" applyNumberFormat="1" applyFont="1" applyFill="1" applyBorder="1" applyAlignment="1" applyProtection="1">
      <alignment horizontal="left" vertical="top"/>
    </xf>
    <xf numFmtId="0" fontId="84" fillId="0" borderId="18" xfId="40" applyNumberFormat="1" applyFont="1" applyFill="1" applyBorder="1" applyAlignment="1" applyProtection="1">
      <alignment horizontal="left" vertical="top"/>
    </xf>
    <xf numFmtId="0" fontId="84" fillId="0" borderId="40" xfId="40" applyNumberFormat="1" applyFont="1" applyFill="1" applyBorder="1" applyAlignment="1" applyProtection="1">
      <alignment horizontal="left" vertical="top"/>
    </xf>
    <xf numFmtId="0" fontId="84" fillId="0" borderId="32" xfId="40" applyNumberFormat="1" applyFont="1" applyFill="1" applyBorder="1" applyAlignment="1" applyProtection="1">
      <alignment horizontal="left" vertical="top"/>
    </xf>
    <xf numFmtId="0" fontId="89" fillId="0" borderId="18" xfId="40" applyNumberFormat="1" applyFont="1" applyFill="1" applyBorder="1" applyAlignment="1" applyProtection="1">
      <alignment horizontal="left" vertical="top"/>
    </xf>
    <xf numFmtId="0" fontId="17" fillId="0" borderId="0" xfId="40" applyNumberFormat="1" applyFont="1" applyFill="1" applyBorder="1" applyAlignment="1" applyProtection="1"/>
    <xf numFmtId="0" fontId="72" fillId="28" borderId="0" xfId="39" applyFont="1" applyFill="1" applyBorder="1"/>
    <xf numFmtId="0" fontId="17" fillId="28" borderId="0" xfId="40" applyNumberFormat="1" applyFont="1" applyFill="1" applyBorder="1" applyAlignment="1" applyProtection="1">
      <alignment horizontal="left" vertical="top"/>
    </xf>
    <xf numFmtId="0" fontId="72" fillId="28" borderId="0" xfId="39" applyFont="1" applyFill="1" applyBorder="1" applyAlignment="1">
      <alignment horizontal="center"/>
    </xf>
    <xf numFmtId="0" fontId="53" fillId="0" borderId="0" xfId="39" applyFont="1" applyBorder="1"/>
    <xf numFmtId="0" fontId="52" fillId="0" borderId="0" xfId="39" applyFont="1" applyBorder="1"/>
    <xf numFmtId="0" fontId="72" fillId="24" borderId="0" xfId="39" applyFont="1" applyFill="1" applyBorder="1"/>
    <xf numFmtId="0" fontId="84" fillId="0" borderId="0" xfId="39" applyFont="1" applyBorder="1"/>
    <xf numFmtId="0" fontId="72" fillId="24" borderId="27" xfId="39" applyFont="1" applyFill="1" applyBorder="1"/>
    <xf numFmtId="0" fontId="72" fillId="0" borderId="27" xfId="39" applyFont="1" applyBorder="1"/>
    <xf numFmtId="0" fontId="72" fillId="0" borderId="27" xfId="39" applyFont="1" applyBorder="1" applyAlignment="1">
      <alignment horizontal="center"/>
    </xf>
    <xf numFmtId="0" fontId="84" fillId="0" borderId="27" xfId="39" applyFont="1" applyBorder="1"/>
    <xf numFmtId="0" fontId="53" fillId="0" borderId="20" xfId="40" applyNumberFormat="1" applyFont="1" applyFill="1" applyBorder="1" applyAlignment="1" applyProtection="1"/>
    <xf numFmtId="0" fontId="72" fillId="0" borderId="28" xfId="39" applyFont="1" applyBorder="1"/>
    <xf numFmtId="0" fontId="17" fillId="0" borderId="28" xfId="40" applyNumberFormat="1" applyFont="1" applyFill="1" applyBorder="1" applyAlignment="1" applyProtection="1"/>
    <xf numFmtId="0" fontId="72" fillId="0" borderId="41" xfId="39" applyFont="1" applyBorder="1"/>
    <xf numFmtId="0" fontId="53" fillId="0" borderId="22" xfId="40" applyNumberFormat="1" applyFont="1" applyFill="1" applyBorder="1" applyAlignment="1" applyProtection="1">
      <alignment horizontal="left"/>
    </xf>
    <xf numFmtId="0" fontId="72" fillId="0" borderId="23" xfId="39" applyFont="1" applyBorder="1"/>
    <xf numFmtId="0" fontId="52" fillId="0" borderId="22" xfId="40" applyNumberFormat="1" applyFont="1" applyFill="1" applyBorder="1" applyAlignment="1" applyProtection="1">
      <alignment horizontal="left"/>
    </xf>
    <xf numFmtId="0" fontId="53" fillId="0" borderId="22" xfId="39" applyFont="1" applyBorder="1"/>
    <xf numFmtId="0" fontId="72" fillId="0" borderId="22" xfId="39" applyFont="1" applyBorder="1"/>
    <xf numFmtId="0" fontId="72" fillId="0" borderId="30" xfId="39" applyFont="1" applyBorder="1"/>
    <xf numFmtId="0" fontId="72" fillId="0" borderId="42" xfId="39" applyFont="1" applyBorder="1"/>
    <xf numFmtId="0" fontId="53" fillId="0" borderId="20" xfId="39" applyFont="1" applyBorder="1"/>
    <xf numFmtId="0" fontId="72" fillId="0" borderId="28" xfId="39" applyFont="1" applyBorder="1" applyAlignment="1">
      <alignment horizontal="center"/>
    </xf>
    <xf numFmtId="0" fontId="85" fillId="24" borderId="20" xfId="0" applyFont="1" applyFill="1" applyBorder="1" applyAlignment="1">
      <alignment horizontal="left"/>
    </xf>
    <xf numFmtId="0" fontId="72" fillId="24" borderId="28" xfId="39" applyFont="1" applyFill="1" applyBorder="1"/>
    <xf numFmtId="0" fontId="6" fillId="24" borderId="28" xfId="0" applyFont="1" applyFill="1" applyBorder="1" applyAlignment="1">
      <alignment horizontal="left"/>
    </xf>
    <xf numFmtId="0" fontId="24" fillId="24" borderId="28" xfId="0" applyFont="1" applyFill="1" applyBorder="1" applyAlignment="1">
      <alignment horizontal="left"/>
    </xf>
    <xf numFmtId="0" fontId="42" fillId="24" borderId="22" xfId="0" applyFont="1" applyFill="1" applyBorder="1" applyAlignment="1">
      <alignment horizontal="left"/>
    </xf>
    <xf numFmtId="0" fontId="6" fillId="24" borderId="0" xfId="0" applyFont="1" applyFill="1" applyBorder="1" applyAlignment="1">
      <alignment horizontal="left"/>
    </xf>
    <xf numFmtId="0" fontId="17" fillId="24" borderId="0" xfId="0" applyFont="1" applyFill="1" applyBorder="1" applyAlignment="1">
      <alignment horizontal="left"/>
    </xf>
    <xf numFmtId="0" fontId="46" fillId="24" borderId="22" xfId="0" applyFont="1" applyFill="1" applyBorder="1" applyAlignment="1">
      <alignment horizontal="left"/>
    </xf>
    <xf numFmtId="0" fontId="24" fillId="24" borderId="0" xfId="0" applyFont="1" applyFill="1" applyBorder="1" applyAlignment="1">
      <alignment horizontal="left"/>
    </xf>
    <xf numFmtId="0" fontId="17" fillId="0" borderId="27" xfId="40" applyNumberFormat="1" applyFont="1" applyFill="1" applyBorder="1" applyAlignment="1" applyProtection="1">
      <alignment horizontal="left"/>
    </xf>
    <xf numFmtId="0" fontId="91" fillId="0" borderId="0" xfId="39" applyFont="1" applyBorder="1"/>
    <xf numFmtId="0" fontId="90" fillId="0" borderId="0" xfId="39" applyFont="1" applyBorder="1"/>
    <xf numFmtId="0" fontId="76" fillId="0" borderId="23" xfId="39" applyFont="1" applyBorder="1"/>
    <xf numFmtId="0" fontId="76" fillId="0" borderId="42" xfId="39" applyFont="1" applyBorder="1"/>
    <xf numFmtId="0" fontId="53" fillId="0" borderId="22" xfId="40" applyNumberFormat="1" applyFont="1" applyFill="1" applyBorder="1" applyAlignment="1" applyProtection="1"/>
    <xf numFmtId="0" fontId="53" fillId="0" borderId="28" xfId="39" applyFont="1" applyBorder="1"/>
    <xf numFmtId="0" fontId="73" fillId="0" borderId="28" xfId="39" applyFont="1" applyBorder="1"/>
    <xf numFmtId="0" fontId="83" fillId="0" borderId="41" xfId="39" applyFont="1" applyBorder="1"/>
    <xf numFmtId="0" fontId="92" fillId="0" borderId="0" xfId="0" applyFont="1"/>
    <xf numFmtId="0" fontId="93" fillId="25" borderId="0" xfId="0" applyFont="1" applyFill="1" applyBorder="1" applyAlignment="1">
      <alignment horizontal="center"/>
    </xf>
    <xf numFmtId="0" fontId="18" fillId="0" borderId="37" xfId="0" applyFont="1" applyBorder="1" applyAlignment="1">
      <alignment horizontal="center"/>
    </xf>
    <xf numFmtId="0" fontId="18" fillId="0" borderId="0" xfId="0" applyFont="1" applyAlignment="1">
      <alignment horizontal="center"/>
    </xf>
    <xf numFmtId="0" fontId="17" fillId="0" borderId="36" xfId="0" applyFont="1" applyBorder="1" applyAlignment="1">
      <alignment horizontal="right"/>
    </xf>
    <xf numFmtId="0" fontId="17" fillId="0" borderId="39" xfId="0" applyFont="1" applyBorder="1" applyAlignment="1">
      <alignment horizontal="left" wrapText="1"/>
    </xf>
    <xf numFmtId="0" fontId="5" fillId="0" borderId="39" xfId="0" applyFont="1" applyBorder="1"/>
    <xf numFmtId="0" fontId="13" fillId="0" borderId="33" xfId="0" applyFont="1" applyBorder="1" applyAlignment="1">
      <alignment horizontal="left" vertical="top"/>
    </xf>
    <xf numFmtId="0" fontId="5" fillId="0" borderId="33" xfId="0" applyFont="1" applyBorder="1"/>
    <xf numFmtId="0" fontId="5" fillId="0" borderId="13" xfId="0" applyFont="1" applyBorder="1"/>
    <xf numFmtId="0" fontId="5" fillId="0" borderId="0" xfId="0" applyFont="1"/>
    <xf numFmtId="0" fontId="0" fillId="0" borderId="0" xfId="0" applyAlignment="1">
      <alignment wrapText="1"/>
    </xf>
    <xf numFmtId="0" fontId="94" fillId="0" borderId="39" xfId="0" applyFont="1" applyBorder="1" applyAlignment="1">
      <alignment wrapText="1"/>
    </xf>
    <xf numFmtId="0" fontId="0" fillId="0" borderId="0" xfId="0" applyAlignment="1">
      <alignment horizontal="left" wrapText="1" indent="1"/>
    </xf>
    <xf numFmtId="0" fontId="6" fillId="0" borderId="39" xfId="0" applyFont="1" applyBorder="1" applyAlignment="1">
      <alignment horizontal="left" wrapText="1"/>
    </xf>
    <xf numFmtId="0" fontId="6" fillId="0" borderId="39" xfId="0" applyFont="1" applyBorder="1" applyAlignment="1">
      <alignment wrapText="1"/>
    </xf>
    <xf numFmtId="0" fontId="6" fillId="0" borderId="39" xfId="0" applyFont="1" applyBorder="1"/>
    <xf numFmtId="0" fontId="10" fillId="0" borderId="36" xfId="0" applyFont="1" applyBorder="1" applyAlignment="1">
      <alignment horizontal="left" wrapText="1"/>
    </xf>
    <xf numFmtId="0" fontId="6" fillId="0" borderId="39" xfId="0" applyFont="1" applyBorder="1" applyAlignment="1">
      <alignment horizontal="left" wrapText="1" indent="1"/>
    </xf>
    <xf numFmtId="0" fontId="10" fillId="0" borderId="39" xfId="0" applyFont="1" applyBorder="1" applyAlignment="1">
      <alignment wrapText="1"/>
    </xf>
    <xf numFmtId="0" fontId="6" fillId="0" borderId="39" xfId="0" applyFont="1" applyBorder="1" applyAlignment="1">
      <alignment horizontal="left" vertical="top" wrapText="1"/>
    </xf>
    <xf numFmtId="0" fontId="6" fillId="0" borderId="40" xfId="0" applyFont="1" applyBorder="1" applyAlignment="1">
      <alignment wrapText="1"/>
    </xf>
    <xf numFmtId="0" fontId="95" fillId="0" borderId="39" xfId="0" applyFont="1" applyBorder="1" applyAlignment="1">
      <alignment horizontal="left" wrapText="1" indent="1"/>
    </xf>
    <xf numFmtId="0" fontId="96" fillId="0" borderId="39" xfId="39" applyFont="1" applyBorder="1" applyAlignment="1">
      <alignment horizontal="left" indent="1"/>
    </xf>
    <xf numFmtId="0" fontId="97" fillId="0" borderId="39" xfId="0" applyFont="1" applyBorder="1" applyAlignment="1">
      <alignment horizontal="left" wrapText="1" indent="1"/>
    </xf>
    <xf numFmtId="0" fontId="95" fillId="0" borderId="0" xfId="0" applyFont="1" applyAlignment="1">
      <alignment horizontal="left" wrapText="1" indent="1"/>
    </xf>
    <xf numFmtId="0" fontId="85" fillId="0" borderId="0" xfId="0" applyFont="1" applyFill="1" applyBorder="1" applyAlignment="1">
      <alignment horizontal="center"/>
    </xf>
    <xf numFmtId="0" fontId="42" fillId="0" borderId="0" xfId="0" applyFont="1" applyFill="1" applyBorder="1" applyAlignment="1">
      <alignment horizontal="center"/>
    </xf>
    <xf numFmtId="0" fontId="46" fillId="0" borderId="0" xfId="0" applyFont="1" applyFill="1" applyBorder="1" applyAlignment="1">
      <alignment horizontal="center"/>
    </xf>
    <xf numFmtId="0" fontId="17" fillId="0" borderId="0" xfId="0" applyFont="1" applyFill="1" applyBorder="1" applyAlignment="1">
      <alignment horizontal="left"/>
    </xf>
    <xf numFmtId="0" fontId="6" fillId="0" borderId="39" xfId="0" applyFont="1" applyBorder="1" applyAlignment="1">
      <alignment horizontal="right"/>
    </xf>
    <xf numFmtId="0" fontId="3" fillId="0" borderId="39" xfId="0" applyFont="1" applyBorder="1"/>
    <xf numFmtId="0" fontId="6" fillId="0" borderId="15" xfId="0" applyFont="1" applyBorder="1" applyAlignment="1">
      <alignment horizontal="right"/>
    </xf>
    <xf numFmtId="0" fontId="6" fillId="24" borderId="39" xfId="0" applyFont="1" applyFill="1" applyBorder="1" applyAlignment="1">
      <alignment horizontal="right"/>
    </xf>
    <xf numFmtId="0" fontId="6" fillId="24" borderId="15" xfId="0" applyFont="1" applyFill="1" applyBorder="1" applyAlignment="1">
      <alignment horizontal="right"/>
    </xf>
    <xf numFmtId="0" fontId="6" fillId="0" borderId="15" xfId="0" applyFont="1" applyBorder="1"/>
    <xf numFmtId="0" fontId="3" fillId="24" borderId="39" xfId="0" applyFont="1" applyFill="1" applyBorder="1" applyAlignment="1"/>
    <xf numFmtId="167" fontId="3" fillId="24" borderId="39" xfId="0" applyNumberFormat="1" applyFont="1" applyFill="1" applyBorder="1" applyAlignment="1"/>
    <xf numFmtId="0" fontId="3" fillId="0" borderId="39" xfId="0" applyFont="1" applyBorder="1" applyAlignment="1"/>
    <xf numFmtId="0" fontId="6" fillId="25" borderId="39" xfId="0" applyFont="1" applyFill="1" applyBorder="1" applyAlignment="1">
      <alignment horizontal="right"/>
    </xf>
    <xf numFmtId="0" fontId="41" fillId="25" borderId="36" xfId="0" applyFont="1" applyFill="1" applyBorder="1" applyAlignment="1">
      <alignment vertical="top"/>
    </xf>
    <xf numFmtId="0" fontId="5" fillId="25" borderId="39" xfId="0" applyFont="1" applyFill="1" applyBorder="1"/>
    <xf numFmtId="0" fontId="5" fillId="25" borderId="33" xfId="0" applyFont="1" applyFill="1" applyBorder="1"/>
    <xf numFmtId="0" fontId="3" fillId="24" borderId="36" xfId="0" applyFont="1" applyFill="1" applyBorder="1"/>
    <xf numFmtId="0" fontId="3" fillId="24" borderId="39" xfId="0" applyFont="1" applyFill="1" applyBorder="1"/>
    <xf numFmtId="0" fontId="6" fillId="24" borderId="39" xfId="0" applyFont="1" applyFill="1" applyBorder="1"/>
    <xf numFmtId="0" fontId="6" fillId="0" borderId="39" xfId="0" applyFont="1" applyBorder="1" applyAlignment="1">
      <alignment horizontal="left" indent="1"/>
    </xf>
    <xf numFmtId="0" fontId="0" fillId="0" borderId="40" xfId="0" applyBorder="1" applyAlignment="1">
      <alignment horizontal="left" indent="1"/>
    </xf>
    <xf numFmtId="0" fontId="6" fillId="0" borderId="0" xfId="0" applyFont="1" applyBorder="1" applyAlignment="1">
      <alignment horizontal="left" wrapText="1" indent="1"/>
    </xf>
    <xf numFmtId="0" fontId="6" fillId="0" borderId="0" xfId="0" applyFont="1" applyAlignment="1">
      <alignment horizontal="left" wrapText="1" indent="1"/>
    </xf>
    <xf numFmtId="166" fontId="0" fillId="0" borderId="0" xfId="0" applyNumberFormat="1" applyAlignment="1">
      <alignment horizontal="center"/>
    </xf>
    <xf numFmtId="166" fontId="5" fillId="25" borderId="0" xfId="0" applyNumberFormat="1" applyFont="1" applyFill="1" applyAlignment="1">
      <alignment horizontal="center"/>
    </xf>
    <xf numFmtId="0" fontId="0" fillId="0" borderId="37" xfId="0" applyBorder="1" applyAlignment="1">
      <alignment horizontal="left"/>
    </xf>
    <xf numFmtId="49" fontId="0" fillId="0" borderId="44" xfId="0" applyNumberFormat="1" applyBorder="1" applyAlignment="1">
      <alignment horizontal="center"/>
    </xf>
    <xf numFmtId="0" fontId="0" fillId="0" borderId="45" xfId="0" applyBorder="1" applyAlignment="1">
      <alignment horizontal="left"/>
    </xf>
    <xf numFmtId="0" fontId="0" fillId="0" borderId="46" xfId="0" applyBorder="1" applyAlignment="1">
      <alignment horizontal="left" indent="2"/>
    </xf>
    <xf numFmtId="49" fontId="0" fillId="0" borderId="47" xfId="0" applyNumberFormat="1" applyBorder="1" applyAlignment="1">
      <alignment horizontal="center"/>
    </xf>
    <xf numFmtId="0" fontId="0" fillId="0" borderId="48" xfId="0" applyBorder="1" applyAlignment="1">
      <alignment horizontal="left" indent="2"/>
    </xf>
    <xf numFmtId="49" fontId="0" fillId="0" borderId="49" xfId="0" applyNumberFormat="1" applyBorder="1" applyAlignment="1">
      <alignment horizontal="center"/>
    </xf>
    <xf numFmtId="0" fontId="16" fillId="0" borderId="50" xfId="0" applyFont="1" applyBorder="1" applyAlignment="1">
      <alignment horizontal="left"/>
    </xf>
    <xf numFmtId="0" fontId="0" fillId="0" borderId="51" xfId="0" applyBorder="1" applyAlignment="1">
      <alignment horizontal="left" indent="2"/>
    </xf>
    <xf numFmtId="0" fontId="41" fillId="0" borderId="39" xfId="0" applyFont="1" applyBorder="1" applyAlignment="1">
      <alignment horizontal="left" wrapText="1" indent="1"/>
    </xf>
    <xf numFmtId="0" fontId="16" fillId="0" borderId="0" xfId="0" applyFont="1" applyBorder="1" applyAlignment="1">
      <alignment horizontal="left" wrapText="1" indent="1"/>
    </xf>
    <xf numFmtId="1" fontId="93" fillId="0" borderId="0" xfId="0" applyNumberFormat="1" applyFont="1" applyFill="1" applyBorder="1" applyAlignment="1">
      <alignment horizontal="left" shrinkToFit="1"/>
    </xf>
    <xf numFmtId="1" fontId="99" fillId="0" borderId="0" xfId="0" applyNumberFormat="1" applyFont="1" applyFill="1" applyBorder="1" applyAlignment="1">
      <alignment horizontal="left" shrinkToFit="1"/>
    </xf>
    <xf numFmtId="2" fontId="84" fillId="0" borderId="0" xfId="0" applyNumberFormat="1" applyFont="1" applyAlignment="1">
      <alignment horizontal="left" indent="1"/>
    </xf>
    <xf numFmtId="0" fontId="92" fillId="0" borderId="0" xfId="0" applyFont="1" applyAlignment="1">
      <alignment horizontal="left"/>
    </xf>
    <xf numFmtId="17" fontId="14" fillId="0" borderId="0" xfId="0" applyNumberFormat="1" applyFont="1" applyAlignment="1">
      <alignment horizontal="left" indent="1"/>
    </xf>
    <xf numFmtId="0" fontId="39" fillId="0" borderId="0" xfId="0" applyFont="1" applyFill="1"/>
    <xf numFmtId="0" fontId="8" fillId="0" borderId="0" xfId="0" applyFont="1" applyFill="1" applyBorder="1" applyAlignment="1">
      <alignment horizontal="left"/>
    </xf>
    <xf numFmtId="49" fontId="14" fillId="0" borderId="0" xfId="0" applyNumberFormat="1" applyFont="1" applyAlignment="1">
      <alignment horizontal="center"/>
    </xf>
    <xf numFmtId="2" fontId="0" fillId="24" borderId="0" xfId="0" applyNumberFormat="1" applyFill="1"/>
    <xf numFmtId="0" fontId="100" fillId="0" borderId="0" xfId="0" applyFont="1"/>
    <xf numFmtId="0" fontId="0" fillId="24" borderId="0" xfId="0" applyFill="1"/>
    <xf numFmtId="0" fontId="16" fillId="0" borderId="0" xfId="0" applyFont="1" applyBorder="1"/>
    <xf numFmtId="14" fontId="0" fillId="0" borderId="0" xfId="0" applyNumberFormat="1" applyFill="1" applyBorder="1" applyAlignment="1">
      <alignment horizontal="center"/>
    </xf>
    <xf numFmtId="0" fontId="16" fillId="0" borderId="0" xfId="0" applyFont="1" applyAlignment="1">
      <alignment horizontal="center"/>
    </xf>
    <xf numFmtId="49" fontId="42" fillId="0" borderId="0" xfId="0" applyNumberFormat="1" applyFont="1" applyFill="1" applyAlignment="1">
      <alignment horizontal="left" indent="1"/>
    </xf>
    <xf numFmtId="2" fontId="42" fillId="0" borderId="0" xfId="0" applyNumberFormat="1" applyFont="1" applyFill="1" applyAlignment="1">
      <alignment horizontal="left" indent="1"/>
    </xf>
    <xf numFmtId="2" fontId="84" fillId="0" borderId="0" xfId="0" applyNumberFormat="1" applyFont="1" applyFill="1" applyBorder="1" applyAlignment="1">
      <alignment horizontal="left" indent="1"/>
    </xf>
    <xf numFmtId="2" fontId="16" fillId="0" borderId="0" xfId="0" applyNumberFormat="1" applyFont="1" applyAlignment="1">
      <alignment horizontal="left"/>
    </xf>
    <xf numFmtId="17" fontId="14" fillId="27" borderId="0" xfId="0" applyNumberFormat="1" applyFont="1" applyFill="1" applyAlignment="1">
      <alignment horizontal="left" indent="1"/>
    </xf>
    <xf numFmtId="0" fontId="101" fillId="0" borderId="0" xfId="0" applyFont="1" applyBorder="1"/>
    <xf numFmtId="0" fontId="102" fillId="0" borderId="0" xfId="0" applyFont="1" applyBorder="1"/>
    <xf numFmtId="1" fontId="103" fillId="24" borderId="0" xfId="0" applyNumberFormat="1" applyFont="1" applyFill="1" applyBorder="1"/>
    <xf numFmtId="0" fontId="103" fillId="24" borderId="0" xfId="0" applyFont="1" applyFill="1" applyBorder="1"/>
    <xf numFmtId="0" fontId="105" fillId="0" borderId="0" xfId="0" applyFont="1" applyBorder="1"/>
    <xf numFmtId="0" fontId="105" fillId="0" borderId="0" xfId="0" applyFont="1"/>
    <xf numFmtId="0" fontId="104" fillId="0" borderId="30" xfId="0" applyFont="1" applyBorder="1" applyAlignment="1">
      <alignment shrinkToFit="1"/>
    </xf>
    <xf numFmtId="0" fontId="103" fillId="0" borderId="0" xfId="0" applyFont="1" applyBorder="1"/>
    <xf numFmtId="0" fontId="103" fillId="0" borderId="0" xfId="0" applyFont="1"/>
    <xf numFmtId="1" fontId="104" fillId="0" borderId="20" xfId="0" applyNumberFormat="1" applyFont="1" applyBorder="1" applyAlignment="1" applyProtection="1">
      <alignment shrinkToFit="1"/>
    </xf>
    <xf numFmtId="0" fontId="107" fillId="0" borderId="28" xfId="0" applyFont="1" applyBorder="1"/>
    <xf numFmtId="0" fontId="103" fillId="0" borderId="28" xfId="0" applyFont="1" applyBorder="1"/>
    <xf numFmtId="0" fontId="104" fillId="0" borderId="22" xfId="0" applyFont="1" applyBorder="1" applyAlignment="1">
      <alignment shrinkToFit="1"/>
    </xf>
    <xf numFmtId="0" fontId="107" fillId="0" borderId="0" xfId="0" applyFont="1" applyBorder="1"/>
    <xf numFmtId="0" fontId="101" fillId="0" borderId="0" xfId="0" applyFont="1" applyBorder="1" applyAlignment="1">
      <alignment horizontal="left"/>
    </xf>
    <xf numFmtId="0" fontId="103" fillId="0" borderId="0" xfId="0" applyFont="1" applyFill="1" applyBorder="1"/>
    <xf numFmtId="1" fontId="108" fillId="0" borderId="0" xfId="0" applyNumberFormat="1" applyFont="1" applyBorder="1"/>
    <xf numFmtId="1" fontId="103" fillId="0" borderId="14" xfId="0" applyNumberFormat="1" applyFont="1" applyBorder="1"/>
    <xf numFmtId="0" fontId="107" fillId="0" borderId="0" xfId="0" applyFont="1" applyFill="1" applyBorder="1"/>
    <xf numFmtId="0" fontId="103" fillId="0" borderId="0" xfId="0" applyFont="1" applyBorder="1" applyAlignment="1">
      <alignment horizontal="left"/>
    </xf>
    <xf numFmtId="0" fontId="103" fillId="0" borderId="0" xfId="0" applyFont="1" applyBorder="1" applyAlignment="1">
      <alignment horizontal="center"/>
    </xf>
    <xf numFmtId="0" fontId="102" fillId="0" borderId="0" xfId="0" applyFont="1" applyFill="1" applyBorder="1"/>
    <xf numFmtId="1" fontId="108" fillId="0" borderId="0" xfId="0" applyNumberFormat="1" applyFont="1" applyFill="1" applyBorder="1"/>
    <xf numFmtId="0" fontId="104" fillId="0" borderId="0" xfId="0" applyFont="1" applyBorder="1"/>
    <xf numFmtId="0" fontId="104" fillId="0" borderId="0" xfId="0" applyFont="1" applyBorder="1" applyAlignment="1">
      <alignment horizontal="left" indent="1"/>
    </xf>
    <xf numFmtId="0" fontId="111" fillId="0" borderId="0" xfId="0" applyFont="1" applyBorder="1" applyAlignment="1">
      <alignment horizontal="left"/>
    </xf>
    <xf numFmtId="0" fontId="111" fillId="0" borderId="0" xfId="0" applyFont="1" applyBorder="1"/>
    <xf numFmtId="0" fontId="112" fillId="0" borderId="0" xfId="0" applyFont="1" applyBorder="1"/>
    <xf numFmtId="0" fontId="104" fillId="0" borderId="0" xfId="0" applyFont="1" applyBorder="1" applyAlignment="1">
      <alignment horizontal="left"/>
    </xf>
    <xf numFmtId="1" fontId="103" fillId="0" borderId="0" xfId="0" applyNumberFormat="1" applyFont="1" applyFill="1" applyBorder="1"/>
    <xf numFmtId="0" fontId="101" fillId="24" borderId="0" xfId="0" applyFont="1" applyFill="1" applyBorder="1" applyAlignment="1">
      <alignment horizontal="right"/>
    </xf>
    <xf numFmtId="0" fontId="113" fillId="0" borderId="0" xfId="0" applyFont="1" applyBorder="1"/>
    <xf numFmtId="0" fontId="104" fillId="0" borderId="0" xfId="0" applyFont="1" applyBorder="1" applyAlignment="1">
      <alignment horizontal="right"/>
    </xf>
    <xf numFmtId="0" fontId="101" fillId="0" borderId="0" xfId="0" applyFont="1" applyFill="1" applyBorder="1" applyAlignment="1">
      <alignment horizontal="right"/>
    </xf>
    <xf numFmtId="0" fontId="104" fillId="24" borderId="0" xfId="0" applyFont="1" applyFill="1" applyBorder="1" applyAlignment="1">
      <alignment horizontal="right"/>
    </xf>
    <xf numFmtId="0" fontId="110" fillId="0" borderId="12" xfId="0" applyFont="1" applyBorder="1" applyAlignment="1">
      <alignment horizontal="right"/>
    </xf>
    <xf numFmtId="0" fontId="110" fillId="0" borderId="0" xfId="0" applyFont="1" applyBorder="1" applyAlignment="1">
      <alignment horizontal="right"/>
    </xf>
    <xf numFmtId="0" fontId="114" fillId="0" borderId="0" xfId="0" applyFont="1" applyBorder="1"/>
    <xf numFmtId="0" fontId="115" fillId="0" borderId="0" xfId="0" applyFont="1" applyBorder="1"/>
    <xf numFmtId="1" fontId="103" fillId="25" borderId="0" xfId="0" applyNumberFormat="1" applyFont="1" applyFill="1" applyBorder="1"/>
    <xf numFmtId="0" fontId="108" fillId="0" borderId="31" xfId="0" applyFont="1" applyBorder="1"/>
    <xf numFmtId="0" fontId="110" fillId="0" borderId="0" xfId="0" applyFont="1" applyBorder="1"/>
    <xf numFmtId="0" fontId="108" fillId="0" borderId="0" xfId="0" applyFont="1" applyBorder="1"/>
    <xf numFmtId="0" fontId="108" fillId="0" borderId="0" xfId="0" applyFont="1" applyBorder="1" applyAlignment="1">
      <alignment vertical="center"/>
    </xf>
    <xf numFmtId="1" fontId="102" fillId="0" borderId="0" xfId="0" applyNumberFormat="1" applyFont="1" applyBorder="1" applyAlignment="1">
      <alignment horizontal="left"/>
    </xf>
    <xf numFmtId="0" fontId="102" fillId="0" borderId="0" xfId="0" applyFont="1" applyFill="1" applyBorder="1" applyAlignment="1">
      <alignment horizontal="left"/>
    </xf>
    <xf numFmtId="0" fontId="110" fillId="0" borderId="0" xfId="0" applyFont="1" applyBorder="1" applyAlignment="1">
      <alignment horizontal="center"/>
    </xf>
    <xf numFmtId="1" fontId="103" fillId="0" borderId="0" xfId="0" applyNumberFormat="1" applyFont="1" applyBorder="1"/>
    <xf numFmtId="0" fontId="116" fillId="0" borderId="0" xfId="0" applyFont="1" applyBorder="1" applyAlignment="1">
      <alignment horizontal="right"/>
    </xf>
    <xf numFmtId="9" fontId="101" fillId="0" borderId="0" xfId="0" applyNumberFormat="1" applyFont="1" applyBorder="1" applyAlignment="1">
      <alignment horizontal="center"/>
    </xf>
    <xf numFmtId="0" fontId="102" fillId="0" borderId="0" xfId="0" applyFont="1" applyBorder="1" applyAlignment="1">
      <alignment horizontal="left"/>
    </xf>
    <xf numFmtId="0" fontId="112" fillId="0" borderId="0" xfId="0" applyFont="1" applyBorder="1" applyAlignment="1">
      <alignment horizontal="left"/>
    </xf>
    <xf numFmtId="0" fontId="104" fillId="0" borderId="0" xfId="0" applyFont="1" applyBorder="1" applyAlignment="1">
      <alignment shrinkToFit="1"/>
    </xf>
    <xf numFmtId="1" fontId="101" fillId="25" borderId="14" xfId="0" applyNumberFormat="1" applyFont="1" applyFill="1" applyBorder="1"/>
    <xf numFmtId="0" fontId="103" fillId="29" borderId="0" xfId="0" applyFont="1" applyFill="1" applyBorder="1"/>
    <xf numFmtId="165" fontId="17" fillId="0" borderId="0" xfId="0" applyNumberFormat="1" applyFont="1" applyFill="1" applyBorder="1"/>
    <xf numFmtId="1" fontId="17" fillId="0" borderId="0" xfId="0" applyNumberFormat="1" applyFont="1" applyFill="1" applyBorder="1"/>
    <xf numFmtId="1" fontId="0" fillId="0" borderId="0" xfId="0" applyNumberFormat="1" applyFill="1" applyBorder="1"/>
    <xf numFmtId="1" fontId="119" fillId="0" borderId="0" xfId="0" applyNumberFormat="1" applyFont="1" applyBorder="1" applyAlignment="1">
      <alignment horizontal="center"/>
    </xf>
    <xf numFmtId="1" fontId="31" fillId="31" borderId="0" xfId="0" applyNumberFormat="1" applyFont="1" applyFill="1" applyBorder="1" applyAlignment="1">
      <alignment horizontal="center" shrinkToFit="1"/>
    </xf>
    <xf numFmtId="1" fontId="38" fillId="31" borderId="0" xfId="0" applyNumberFormat="1" applyFont="1" applyFill="1" applyBorder="1" applyAlignment="1">
      <alignment horizontal="center" shrinkToFit="1"/>
    </xf>
    <xf numFmtId="0" fontId="0" fillId="0" borderId="11" xfId="0" applyBorder="1"/>
    <xf numFmtId="0" fontId="118" fillId="0" borderId="41" xfId="0" applyFont="1" applyFill="1" applyBorder="1"/>
    <xf numFmtId="0" fontId="118" fillId="0" borderId="23" xfId="0" applyFont="1" applyFill="1" applyBorder="1"/>
    <xf numFmtId="0" fontId="120" fillId="0" borderId="23" xfId="0" applyFont="1" applyFill="1" applyBorder="1" applyAlignment="1">
      <alignment horizontal="center"/>
    </xf>
    <xf numFmtId="0" fontId="120" fillId="0" borderId="24" xfId="0" applyFont="1" applyFill="1" applyBorder="1" applyAlignment="1">
      <alignment horizontal="center"/>
    </xf>
    <xf numFmtId="0" fontId="120" fillId="0" borderId="24" xfId="0" applyFont="1" applyFill="1" applyBorder="1" applyAlignment="1">
      <alignment horizontal="center" vertical="center"/>
    </xf>
    <xf numFmtId="0" fontId="120" fillId="0" borderId="52" xfId="0" applyFont="1" applyFill="1" applyBorder="1" applyAlignment="1">
      <alignment horizontal="center"/>
    </xf>
    <xf numFmtId="0" fontId="118" fillId="0" borderId="0" xfId="0" applyFont="1" applyFill="1"/>
    <xf numFmtId="0" fontId="103" fillId="0" borderId="27" xfId="0" applyFont="1" applyBorder="1"/>
    <xf numFmtId="0" fontId="120" fillId="0" borderId="42" xfId="0" applyFont="1" applyFill="1" applyBorder="1" applyAlignment="1">
      <alignment horizontal="center"/>
    </xf>
    <xf numFmtId="0" fontId="103" fillId="24" borderId="14" xfId="0" applyFont="1" applyFill="1" applyBorder="1"/>
    <xf numFmtId="1" fontId="103" fillId="0" borderId="31" xfId="0" applyNumberFormat="1" applyFont="1" applyFill="1" applyBorder="1"/>
    <xf numFmtId="1" fontId="103" fillId="0" borderId="27" xfId="0" applyNumberFormat="1" applyFont="1" applyFill="1" applyBorder="1"/>
    <xf numFmtId="1" fontId="108" fillId="0" borderId="15" xfId="0" applyNumberFormat="1" applyFont="1" applyBorder="1"/>
    <xf numFmtId="1" fontId="108" fillId="0" borderId="15" xfId="0" applyNumberFormat="1" applyFont="1" applyFill="1" applyBorder="1"/>
    <xf numFmtId="0" fontId="103" fillId="0" borderId="15" xfId="0" applyFont="1" applyBorder="1"/>
    <xf numFmtId="1" fontId="108" fillId="0" borderId="32" xfId="0" applyNumberFormat="1" applyFont="1" applyBorder="1"/>
    <xf numFmtId="1" fontId="108" fillId="0" borderId="19" xfId="0" applyNumberFormat="1" applyFont="1" applyBorder="1"/>
    <xf numFmtId="0" fontId="101" fillId="0" borderId="15" xfId="0" applyFont="1" applyBorder="1"/>
    <xf numFmtId="1" fontId="108" fillId="0" borderId="15" xfId="0" applyNumberFormat="1" applyFont="1" applyBorder="1" applyAlignment="1">
      <alignment horizontal="right"/>
    </xf>
    <xf numFmtId="1" fontId="103" fillId="0" borderId="15" xfId="0" applyNumberFormat="1" applyFont="1" applyBorder="1" applyAlignment="1">
      <alignment horizontal="right"/>
    </xf>
    <xf numFmtId="1" fontId="108" fillId="0" borderId="15" xfId="0" applyNumberFormat="1" applyFont="1" applyFill="1" applyBorder="1" applyAlignment="1"/>
    <xf numFmtId="1" fontId="108" fillId="0" borderId="15" xfId="0" applyNumberFormat="1" applyFont="1" applyBorder="1" applyAlignment="1"/>
    <xf numFmtId="1" fontId="103" fillId="25" borderId="18" xfId="0" applyNumberFormat="1" applyFont="1" applyFill="1" applyBorder="1" applyAlignment="1"/>
    <xf numFmtId="1" fontId="108" fillId="0" borderId="43" xfId="0" applyNumberFormat="1" applyFont="1" applyBorder="1"/>
    <xf numFmtId="1" fontId="104" fillId="0" borderId="25" xfId="0" applyNumberFormat="1" applyFont="1" applyBorder="1" applyAlignment="1">
      <alignment shrinkToFit="1"/>
    </xf>
    <xf numFmtId="0" fontId="108" fillId="0" borderId="26" xfId="0" applyFont="1" applyBorder="1"/>
    <xf numFmtId="0" fontId="103" fillId="0" borderId="26" xfId="0" applyFont="1" applyBorder="1" applyAlignment="1"/>
    <xf numFmtId="0" fontId="103" fillId="0" borderId="26" xfId="0" applyFont="1" applyBorder="1" applyAlignment="1">
      <alignment horizontal="center"/>
    </xf>
    <xf numFmtId="0" fontId="102" fillId="0" borderId="26" xfId="0" applyFont="1" applyFill="1" applyBorder="1" applyAlignment="1">
      <alignment horizontal="left"/>
    </xf>
    <xf numFmtId="1" fontId="108" fillId="0" borderId="53" xfId="0" applyNumberFormat="1" applyFont="1" applyBorder="1"/>
    <xf numFmtId="0" fontId="120" fillId="0" borderId="54" xfId="0" applyFont="1" applyFill="1" applyBorder="1" applyAlignment="1">
      <alignment horizontal="center"/>
    </xf>
    <xf numFmtId="0" fontId="109" fillId="0" borderId="29" xfId="0" applyFont="1" applyBorder="1" applyAlignment="1">
      <alignment horizontal="center"/>
    </xf>
    <xf numFmtId="0" fontId="0" fillId="0" borderId="14" xfId="0" applyFill="1" applyBorder="1"/>
    <xf numFmtId="1" fontId="5" fillId="0" borderId="31" xfId="0" applyNumberFormat="1" applyFont="1" applyFill="1" applyBorder="1"/>
    <xf numFmtId="1" fontId="5" fillId="0" borderId="0" xfId="0" applyNumberFormat="1" applyFont="1" applyBorder="1"/>
    <xf numFmtId="0" fontId="5" fillId="0" borderId="0" xfId="0" applyFont="1" applyFill="1" applyBorder="1"/>
    <xf numFmtId="0" fontId="8" fillId="0" borderId="32" xfId="0" applyFont="1" applyBorder="1"/>
    <xf numFmtId="1" fontId="35" fillId="0" borderId="15" xfId="0" applyNumberFormat="1" applyFont="1" applyBorder="1"/>
    <xf numFmtId="0" fontId="30" fillId="0" borderId="15" xfId="0" applyFont="1" applyBorder="1"/>
    <xf numFmtId="0" fontId="35" fillId="0" borderId="15" xfId="0" applyFont="1" applyFill="1" applyBorder="1" applyAlignment="1">
      <alignment horizontal="right"/>
    </xf>
    <xf numFmtId="1" fontId="35" fillId="24" borderId="15" xfId="0" applyNumberFormat="1" applyFont="1" applyFill="1" applyBorder="1"/>
    <xf numFmtId="0" fontId="35" fillId="0" borderId="15" xfId="0" applyFont="1" applyFill="1" applyBorder="1"/>
    <xf numFmtId="1" fontId="5" fillId="0" borderId="32" xfId="0" applyNumberFormat="1" applyFont="1" applyBorder="1"/>
    <xf numFmtId="0" fontId="5" fillId="0" borderId="19" xfId="0" applyFont="1" applyBorder="1"/>
    <xf numFmtId="0" fontId="4" fillId="0" borderId="15" xfId="0" applyFont="1" applyBorder="1"/>
    <xf numFmtId="0" fontId="5" fillId="0" borderId="15" xfId="0" applyFont="1" applyBorder="1" applyAlignment="1">
      <alignment horizontal="right"/>
    </xf>
    <xf numFmtId="1" fontId="6" fillId="0" borderId="18" xfId="0" applyNumberFormat="1" applyFont="1" applyBorder="1" applyAlignment="1">
      <alignment horizontal="right"/>
    </xf>
    <xf numFmtId="1" fontId="6" fillId="0" borderId="15" xfId="0" applyNumberFormat="1" applyFont="1" applyBorder="1" applyAlignment="1">
      <alignment horizontal="right"/>
    </xf>
    <xf numFmtId="1" fontId="5" fillId="0" borderId="15" xfId="0" applyNumberFormat="1" applyFont="1" applyBorder="1" applyAlignment="1">
      <alignment horizontal="right"/>
    </xf>
    <xf numFmtId="0" fontId="35" fillId="0" borderId="15" xfId="0" applyFont="1" applyFill="1" applyBorder="1" applyAlignment="1"/>
    <xf numFmtId="0" fontId="5" fillId="0" borderId="15" xfId="0" applyFont="1" applyBorder="1" applyAlignment="1"/>
    <xf numFmtId="0" fontId="5" fillId="24" borderId="18" xfId="0" applyFont="1" applyFill="1" applyBorder="1" applyAlignment="1"/>
    <xf numFmtId="0" fontId="5" fillId="0" borderId="15" xfId="0" applyFont="1" applyFill="1" applyBorder="1" applyAlignment="1"/>
    <xf numFmtId="0" fontId="103" fillId="24" borderId="11" xfId="0" applyFont="1" applyFill="1" applyBorder="1"/>
    <xf numFmtId="0" fontId="101" fillId="0" borderId="0" xfId="0" applyFont="1" applyBorder="1" applyAlignment="1"/>
    <xf numFmtId="0" fontId="120" fillId="0" borderId="0" xfId="0" applyFont="1" applyFill="1" applyBorder="1"/>
    <xf numFmtId="0" fontId="103" fillId="0" borderId="0" xfId="0" applyFont="1" applyBorder="1" applyAlignment="1">
      <alignment horizontal="right"/>
    </xf>
    <xf numFmtId="0" fontId="103" fillId="0" borderId="11" xfId="0" applyFont="1" applyBorder="1" applyAlignment="1">
      <alignment horizontal="right"/>
    </xf>
    <xf numFmtId="0" fontId="103" fillId="0" borderId="18" xfId="0" applyFont="1" applyBorder="1" applyAlignment="1">
      <alignment horizontal="right"/>
    </xf>
    <xf numFmtId="165" fontId="16" fillId="0" borderId="0" xfId="0" applyNumberFormat="1" applyFont="1" applyFill="1" applyBorder="1"/>
    <xf numFmtId="1" fontId="121" fillId="0" borderId="0" xfId="0" applyNumberFormat="1" applyFont="1" applyBorder="1"/>
    <xf numFmtId="1" fontId="0" fillId="24" borderId="0" xfId="0" applyNumberFormat="1" applyFill="1" applyBorder="1"/>
    <xf numFmtId="1" fontId="5" fillId="0" borderId="15" xfId="0" applyNumberFormat="1" applyFont="1" applyBorder="1" applyAlignment="1"/>
    <xf numFmtId="1" fontId="16" fillId="0" borderId="0" xfId="0" applyNumberFormat="1" applyFont="1" applyFill="1" applyBorder="1"/>
    <xf numFmtId="0" fontId="118" fillId="0" borderId="24" xfId="0" applyFont="1" applyFill="1" applyBorder="1"/>
    <xf numFmtId="0" fontId="109" fillId="0" borderId="28" xfId="0" applyFont="1" applyBorder="1" applyAlignment="1">
      <alignment horizontal="right" shrinkToFit="1"/>
    </xf>
    <xf numFmtId="0" fontId="109" fillId="0" borderId="0" xfId="0" applyFont="1" applyBorder="1" applyAlignment="1">
      <alignment horizontal="right" shrinkToFit="1"/>
    </xf>
    <xf numFmtId="1" fontId="110" fillId="0" borderId="0" xfId="0" applyNumberFormat="1" applyFont="1" applyBorder="1" applyAlignment="1">
      <alignment horizontal="right"/>
    </xf>
    <xf numFmtId="0" fontId="103" fillId="0" borderId="14" xfId="0" applyFont="1" applyBorder="1" applyAlignment="1">
      <alignment horizontal="right"/>
    </xf>
    <xf numFmtId="1" fontId="110" fillId="0" borderId="12" xfId="0" applyNumberFormat="1" applyFont="1" applyBorder="1" applyAlignment="1">
      <alignment horizontal="right"/>
    </xf>
    <xf numFmtId="1" fontId="110" fillId="0" borderId="14" xfId="0" applyNumberFormat="1" applyFont="1" applyBorder="1" applyAlignment="1">
      <alignment horizontal="right"/>
    </xf>
    <xf numFmtId="1" fontId="110" fillId="0" borderId="27" xfId="0" applyNumberFormat="1" applyFont="1" applyBorder="1" applyAlignment="1">
      <alignment horizontal="right"/>
    </xf>
    <xf numFmtId="1" fontId="110" fillId="0" borderId="26" xfId="0" applyNumberFormat="1" applyFont="1" applyBorder="1" applyAlignment="1">
      <alignment horizontal="right"/>
    </xf>
    <xf numFmtId="0" fontId="120" fillId="0" borderId="0" xfId="0" applyFont="1" applyBorder="1"/>
    <xf numFmtId="0" fontId="31" fillId="0" borderId="35" xfId="0" applyFont="1" applyBorder="1" applyAlignment="1">
      <alignment shrinkToFit="1"/>
    </xf>
    <xf numFmtId="0" fontId="31" fillId="0" borderId="10" xfId="0" applyFont="1" applyBorder="1" applyAlignment="1">
      <alignment shrinkToFit="1"/>
    </xf>
    <xf numFmtId="0" fontId="36" fillId="0" borderId="10" xfId="0" applyFont="1" applyBorder="1" applyAlignment="1">
      <alignment shrinkToFit="1"/>
    </xf>
    <xf numFmtId="1" fontId="31" fillId="0" borderId="10" xfId="0" applyNumberFormat="1" applyFont="1" applyBorder="1" applyAlignment="1">
      <alignment shrinkToFit="1"/>
    </xf>
    <xf numFmtId="1" fontId="18" fillId="0" borderId="13" xfId="0" applyNumberFormat="1" applyFont="1" applyBorder="1" applyAlignment="1">
      <alignment horizontal="left"/>
    </xf>
    <xf numFmtId="0" fontId="0" fillId="0" borderId="10" xfId="0" applyBorder="1"/>
    <xf numFmtId="1" fontId="18" fillId="0" borderId="10" xfId="0" applyNumberFormat="1" applyFont="1" applyFill="1" applyBorder="1" applyAlignment="1">
      <alignment horizontal="left"/>
    </xf>
    <xf numFmtId="0" fontId="8" fillId="0" borderId="0" xfId="0" applyFont="1" applyBorder="1" applyAlignment="1">
      <alignment horizontal="left" indent="1"/>
    </xf>
    <xf numFmtId="0" fontId="14" fillId="0" borderId="0" xfId="0" applyFont="1" applyBorder="1" applyAlignment="1">
      <alignment horizontal="left" indent="1"/>
    </xf>
    <xf numFmtId="0" fontId="98" fillId="0" borderId="0" xfId="0" applyFont="1"/>
    <xf numFmtId="0" fontId="14" fillId="0" borderId="0" xfId="0" applyFont="1"/>
    <xf numFmtId="0" fontId="126" fillId="0" borderId="0" xfId="0" applyFont="1"/>
    <xf numFmtId="0" fontId="8" fillId="0" borderId="0" xfId="0" applyFont="1" applyBorder="1" applyAlignment="1">
      <alignment horizontal="left" shrinkToFit="1"/>
    </xf>
    <xf numFmtId="0" fontId="16" fillId="0" borderId="0" xfId="0" applyFont="1" applyBorder="1" applyAlignment="1">
      <alignment horizontal="right"/>
    </xf>
    <xf numFmtId="0" fontId="24" fillId="0" borderId="0" xfId="0" applyFont="1"/>
    <xf numFmtId="0" fontId="24" fillId="0" borderId="0" xfId="0" applyFont="1" applyBorder="1"/>
    <xf numFmtId="0" fontId="127" fillId="24" borderId="0" xfId="0" applyFont="1" applyFill="1" applyBorder="1" applyAlignment="1">
      <alignment horizontal="right"/>
    </xf>
    <xf numFmtId="0" fontId="127" fillId="29" borderId="0" xfId="0" applyFont="1" applyFill="1"/>
    <xf numFmtId="0" fontId="24" fillId="0" borderId="12" xfId="0" applyFont="1" applyBorder="1"/>
    <xf numFmtId="0" fontId="0" fillId="0" borderId="12" xfId="0" applyBorder="1" applyAlignment="1"/>
    <xf numFmtId="0" fontId="0" fillId="0" borderId="12" xfId="0" applyBorder="1" applyAlignment="1">
      <alignment horizontal="center"/>
    </xf>
    <xf numFmtId="0" fontId="15" fillId="0" borderId="19" xfId="0" applyFont="1" applyFill="1" applyBorder="1" applyAlignment="1">
      <alignment horizontal="right"/>
    </xf>
    <xf numFmtId="3" fontId="16" fillId="0" borderId="0" xfId="0" applyNumberFormat="1" applyFont="1" applyBorder="1" applyAlignment="1">
      <alignment horizontal="center"/>
    </xf>
    <xf numFmtId="0" fontId="14" fillId="0" borderId="0" xfId="0" applyFont="1" applyBorder="1" applyAlignment="1">
      <alignment shrinkToFit="1"/>
    </xf>
    <xf numFmtId="0" fontId="14" fillId="0" borderId="0" xfId="0" applyFont="1" applyBorder="1" applyAlignment="1">
      <alignment horizontal="right"/>
    </xf>
    <xf numFmtId="0" fontId="14" fillId="0" borderId="0" xfId="0" applyFont="1" applyFill="1"/>
    <xf numFmtId="0" fontId="14" fillId="0" borderId="0" xfId="0" applyFont="1" applyBorder="1" applyAlignment="1">
      <alignment horizontal="center"/>
    </xf>
    <xf numFmtId="0" fontId="124" fillId="0" borderId="0" xfId="0" applyFont="1" applyFill="1" applyAlignment="1">
      <alignment horizontal="left"/>
    </xf>
    <xf numFmtId="0" fontId="24" fillId="0" borderId="0" xfId="0" applyFont="1" applyBorder="1" applyAlignment="1">
      <alignment horizontal="center" shrinkToFit="1"/>
    </xf>
    <xf numFmtId="0" fontId="33" fillId="24" borderId="0" xfId="0" applyFont="1" applyFill="1" applyBorder="1" applyAlignment="1">
      <alignment horizontal="center" shrinkToFit="1"/>
    </xf>
    <xf numFmtId="0" fontId="18" fillId="0" borderId="0" xfId="0" applyFont="1" applyFill="1" applyBorder="1" applyAlignment="1">
      <alignment horizontal="right"/>
    </xf>
    <xf numFmtId="0" fontId="128" fillId="0" borderId="0" xfId="0" applyFont="1" applyFill="1" applyBorder="1" applyAlignment="1">
      <alignment horizontal="right"/>
    </xf>
    <xf numFmtId="0" fontId="28" fillId="0" borderId="32" xfId="0" applyFont="1" applyFill="1" applyBorder="1" applyAlignment="1">
      <alignment shrinkToFit="1"/>
    </xf>
    <xf numFmtId="0" fontId="28" fillId="0" borderId="21" xfId="0" applyFont="1" applyFill="1" applyBorder="1" applyAlignment="1">
      <alignment shrinkToFit="1"/>
    </xf>
    <xf numFmtId="1" fontId="28" fillId="0" borderId="22" xfId="0" applyNumberFormat="1" applyFont="1" applyFill="1" applyBorder="1" applyAlignment="1">
      <alignment shrinkToFit="1"/>
    </xf>
    <xf numFmtId="0" fontId="28" fillId="0" borderId="22" xfId="0" applyFont="1" applyFill="1" applyBorder="1" applyAlignment="1">
      <alignment shrinkToFit="1"/>
    </xf>
    <xf numFmtId="1" fontId="20" fillId="0" borderId="55" xfId="0" applyNumberFormat="1" applyFont="1" applyFill="1" applyBorder="1" applyAlignment="1">
      <alignment shrinkToFit="1"/>
    </xf>
    <xf numFmtId="0" fontId="28" fillId="0" borderId="0" xfId="0" applyFont="1" applyFill="1" applyBorder="1" applyAlignment="1">
      <alignment shrinkToFit="1"/>
    </xf>
    <xf numFmtId="0" fontId="87" fillId="0" borderId="0" xfId="0" applyFont="1" applyFill="1" applyBorder="1" applyAlignment="1">
      <alignment horizontal="center" shrinkToFit="1"/>
    </xf>
    <xf numFmtId="0" fontId="16" fillId="0" borderId="0" xfId="0" applyFont="1" applyBorder="1" applyAlignment="1">
      <alignment horizontal="left"/>
    </xf>
    <xf numFmtId="0" fontId="44" fillId="0" borderId="0" xfId="0" applyFont="1" applyFill="1" applyBorder="1" applyAlignment="1">
      <alignment shrinkToFit="1"/>
    </xf>
    <xf numFmtId="0" fontId="131" fillId="0" borderId="0" xfId="0" applyFont="1" applyFill="1" applyBorder="1" applyAlignment="1">
      <alignment horizontal="center" shrinkToFit="1"/>
    </xf>
    <xf numFmtId="0" fontId="44" fillId="32" borderId="0" xfId="0" applyFont="1" applyFill="1" applyBorder="1" applyAlignment="1">
      <alignment horizontal="center" shrinkToFit="1"/>
    </xf>
    <xf numFmtId="0" fontId="3" fillId="0" borderId="0" xfId="0" applyFont="1" applyFill="1"/>
    <xf numFmtId="1" fontId="135" fillId="0" borderId="0" xfId="0" applyNumberFormat="1" applyFont="1" applyBorder="1" applyAlignment="1">
      <alignment horizontal="center"/>
    </xf>
    <xf numFmtId="0" fontId="102" fillId="0" borderId="0" xfId="0" applyFont="1" applyBorder="1" applyAlignment="1">
      <alignment horizontal="center"/>
    </xf>
    <xf numFmtId="0" fontId="136" fillId="0" borderId="0" xfId="0" applyFont="1" applyBorder="1"/>
    <xf numFmtId="0" fontId="103" fillId="0" borderId="14" xfId="0" applyFont="1" applyFill="1" applyBorder="1"/>
    <xf numFmtId="0" fontId="103" fillId="0" borderId="11" xfId="0" applyFont="1" applyBorder="1"/>
    <xf numFmtId="0" fontId="134" fillId="0" borderId="0" xfId="49" applyFont="1" applyAlignment="1">
      <alignment horizontal="left" indent="1"/>
    </xf>
    <xf numFmtId="0" fontId="103" fillId="0" borderId="0" xfId="49" applyFont="1" applyAlignment="1">
      <alignment horizontal="left"/>
    </xf>
    <xf numFmtId="0" fontId="3" fillId="0" borderId="0" xfId="49"/>
    <xf numFmtId="14" fontId="103" fillId="0" borderId="0" xfId="49" applyNumberFormat="1" applyFont="1" applyAlignment="1">
      <alignment horizontal="left"/>
    </xf>
    <xf numFmtId="0" fontId="3" fillId="0" borderId="0" xfId="49" applyFont="1" applyAlignment="1">
      <alignment horizontal="left" indent="1"/>
    </xf>
    <xf numFmtId="0" fontId="3" fillId="0" borderId="0" xfId="49" applyAlignment="1">
      <alignment horizontal="left" indent="1"/>
    </xf>
    <xf numFmtId="0" fontId="3" fillId="0" borderId="0" xfId="49" applyFont="1" applyAlignment="1">
      <alignment horizontal="left" indent="2"/>
    </xf>
    <xf numFmtId="166" fontId="3" fillId="24" borderId="0" xfId="0" applyNumberFormat="1" applyFont="1" applyFill="1" applyBorder="1" applyAlignment="1">
      <alignment horizontal="center" shrinkToFit="1"/>
    </xf>
    <xf numFmtId="0" fontId="3" fillId="0" borderId="0" xfId="0" applyFont="1" applyBorder="1"/>
    <xf numFmtId="49" fontId="3" fillId="0" borderId="0" xfId="0" applyNumberFormat="1" applyFont="1" applyBorder="1" applyAlignment="1">
      <alignment horizontal="left"/>
    </xf>
    <xf numFmtId="0" fontId="3" fillId="0" borderId="0" xfId="0" applyFont="1" applyBorder="1" applyAlignment="1">
      <alignment horizontal="center"/>
    </xf>
    <xf numFmtId="2" fontId="14" fillId="0" borderId="0" xfId="0" applyNumberFormat="1" applyFont="1" applyBorder="1" applyAlignment="1">
      <alignment horizontal="center"/>
    </xf>
    <xf numFmtId="0" fontId="119" fillId="0" borderId="0" xfId="0" applyFont="1" applyBorder="1" applyAlignment="1">
      <alignment horizontal="center"/>
    </xf>
    <xf numFmtId="0" fontId="125" fillId="0" borderId="0" xfId="0" applyFont="1" applyBorder="1"/>
    <xf numFmtId="1" fontId="16" fillId="0" borderId="0" xfId="0" applyNumberFormat="1" applyFont="1" applyBorder="1"/>
    <xf numFmtId="49" fontId="0" fillId="0" borderId="0" xfId="0" applyNumberFormat="1" applyBorder="1"/>
    <xf numFmtId="0" fontId="121" fillId="0" borderId="0" xfId="0" applyFont="1" applyBorder="1"/>
    <xf numFmtId="9" fontId="122" fillId="30" borderId="0" xfId="0" applyNumberFormat="1" applyFont="1" applyFill="1" applyBorder="1"/>
    <xf numFmtId="0" fontId="0" fillId="30" borderId="0" xfId="0" applyFill="1" applyBorder="1"/>
    <xf numFmtId="9" fontId="16" fillId="0" borderId="0" xfId="0" applyNumberFormat="1" applyFont="1" applyBorder="1" applyAlignment="1">
      <alignment horizontal="center"/>
    </xf>
    <xf numFmtId="9" fontId="16" fillId="30" borderId="0" xfId="0" applyNumberFormat="1" applyFont="1" applyFill="1" applyBorder="1" applyAlignment="1">
      <alignment horizontal="center"/>
    </xf>
    <xf numFmtId="0" fontId="16" fillId="30" borderId="0" xfId="0" applyFont="1" applyFill="1" applyBorder="1" applyAlignment="1">
      <alignment horizontal="center"/>
    </xf>
    <xf numFmtId="2" fontId="0" fillId="0" borderId="0" xfId="0" applyNumberFormat="1" applyBorder="1"/>
    <xf numFmtId="1" fontId="3" fillId="0" borderId="0" xfId="0" applyNumberFormat="1" applyFont="1" applyBorder="1" applyAlignment="1">
      <alignment horizontal="left"/>
    </xf>
    <xf numFmtId="1" fontId="0" fillId="0" borderId="0" xfId="0" applyNumberFormat="1" applyBorder="1" applyAlignment="1">
      <alignment horizontal="right"/>
    </xf>
    <xf numFmtId="0" fontId="3" fillId="0" borderId="0" xfId="0" applyFont="1" applyBorder="1" applyAlignment="1">
      <alignment horizontal="right"/>
    </xf>
    <xf numFmtId="1" fontId="0" fillId="0" borderId="0" xfId="0" applyNumberFormat="1" applyBorder="1" applyAlignment="1">
      <alignment horizontal="center"/>
    </xf>
    <xf numFmtId="1" fontId="14" fillId="0" borderId="0" xfId="0" applyNumberFormat="1" applyFont="1" applyBorder="1" applyAlignment="1">
      <alignment horizontal="right"/>
    </xf>
    <xf numFmtId="1" fontId="16" fillId="0" borderId="0" xfId="0" applyNumberFormat="1" applyFont="1" applyBorder="1" applyAlignment="1">
      <alignment horizontal="left"/>
    </xf>
    <xf numFmtId="49" fontId="3" fillId="0" borderId="15" xfId="0" applyNumberFormat="1" applyFont="1" applyBorder="1" applyAlignment="1">
      <alignment horizontal="left"/>
    </xf>
    <xf numFmtId="49" fontId="3" fillId="0" borderId="15" xfId="0" applyNumberFormat="1" applyFont="1" applyBorder="1"/>
    <xf numFmtId="0" fontId="3" fillId="0" borderId="15" xfId="0" applyNumberFormat="1" applyFont="1" applyFill="1" applyBorder="1" applyAlignment="1">
      <alignment horizontal="left" shrinkToFit="1"/>
    </xf>
    <xf numFmtId="49" fontId="0" fillId="0" borderId="15" xfId="0" applyNumberFormat="1" applyBorder="1"/>
    <xf numFmtId="49" fontId="0" fillId="0" borderId="15" xfId="0" applyNumberFormat="1" applyBorder="1" applyAlignment="1">
      <alignment horizontal="left"/>
    </xf>
    <xf numFmtId="0" fontId="3" fillId="0" borderId="15" xfId="0" applyFont="1" applyBorder="1" applyAlignment="1">
      <alignment horizontal="center"/>
    </xf>
    <xf numFmtId="49" fontId="3" fillId="0" borderId="15" xfId="47" applyNumberFormat="1" applyBorder="1"/>
    <xf numFmtId="0" fontId="3" fillId="0" borderId="10" xfId="0" applyFont="1" applyBorder="1" applyAlignment="1">
      <alignment horizontal="center"/>
    </xf>
    <xf numFmtId="0" fontId="3" fillId="0" borderId="10" xfId="0" applyFont="1" applyBorder="1"/>
    <xf numFmtId="0" fontId="5" fillId="0" borderId="10" xfId="0" applyNumberFormat="1" applyFont="1" applyFill="1" applyBorder="1" applyAlignment="1">
      <alignment horizontal="right" shrinkToFit="1"/>
    </xf>
    <xf numFmtId="0" fontId="44" fillId="0" borderId="10" xfId="0" applyFont="1" applyBorder="1"/>
    <xf numFmtId="0" fontId="0" fillId="0" borderId="14" xfId="0" applyBorder="1"/>
    <xf numFmtId="49" fontId="3" fillId="0" borderId="18" xfId="0" applyNumberFormat="1" applyFont="1" applyBorder="1"/>
    <xf numFmtId="9" fontId="16" fillId="0" borderId="14" xfId="0" applyNumberFormat="1" applyFont="1" applyBorder="1" applyAlignment="1">
      <alignment horizontal="center"/>
    </xf>
    <xf numFmtId="3" fontId="102" fillId="0" borderId="0" xfId="0" applyNumberFormat="1" applyFont="1" applyBorder="1" applyAlignment="1">
      <alignment horizontal="center"/>
    </xf>
    <xf numFmtId="0" fontId="103" fillId="32" borderId="0" xfId="0" applyFont="1" applyFill="1" applyBorder="1"/>
    <xf numFmtId="10" fontId="103" fillId="0" borderId="0" xfId="0" applyNumberFormat="1" applyFont="1"/>
    <xf numFmtId="0" fontId="138" fillId="0" borderId="0" xfId="49" applyFont="1"/>
    <xf numFmtId="0" fontId="16" fillId="0" borderId="0" xfId="49" applyFont="1" applyAlignment="1">
      <alignment horizontal="right"/>
    </xf>
    <xf numFmtId="0" fontId="138" fillId="0" borderId="20" xfId="49" applyFont="1" applyBorder="1"/>
    <xf numFmtId="0" fontId="138" fillId="0" borderId="41" xfId="49" applyFont="1" applyBorder="1"/>
    <xf numFmtId="0" fontId="138" fillId="0" borderId="22" xfId="49" applyFont="1" applyBorder="1" applyAlignment="1"/>
    <xf numFmtId="0" fontId="138" fillId="0" borderId="23" xfId="49" applyFont="1" applyBorder="1"/>
    <xf numFmtId="0" fontId="138" fillId="0" borderId="22" xfId="49" applyFont="1" applyBorder="1"/>
    <xf numFmtId="0" fontId="138" fillId="32" borderId="22" xfId="49" applyFont="1" applyFill="1" applyBorder="1"/>
    <xf numFmtId="0" fontId="138" fillId="32" borderId="23" xfId="49" applyFont="1" applyFill="1" applyBorder="1"/>
    <xf numFmtId="0" fontId="138" fillId="0" borderId="22" xfId="49" applyFont="1" applyBorder="1" applyAlignment="1">
      <alignment horizontal="left" indent="1"/>
    </xf>
    <xf numFmtId="9" fontId="138" fillId="0" borderId="23" xfId="49" applyNumberFormat="1" applyFont="1" applyBorder="1"/>
    <xf numFmtId="0" fontId="138" fillId="0" borderId="30" xfId="49" applyFont="1" applyBorder="1"/>
    <xf numFmtId="0" fontId="16" fillId="0" borderId="42" xfId="49" applyFont="1" applyBorder="1" applyAlignment="1">
      <alignment horizontal="right"/>
    </xf>
    <xf numFmtId="0" fontId="133" fillId="0" borderId="0" xfId="0" applyFont="1" applyBorder="1"/>
    <xf numFmtId="0" fontId="101" fillId="0" borderId="0" xfId="0" applyFont="1" applyBorder="1" applyAlignment="1">
      <alignment horizontal="center"/>
    </xf>
    <xf numFmtId="0" fontId="101" fillId="24" borderId="0" xfId="0" applyFont="1" applyFill="1" applyBorder="1"/>
    <xf numFmtId="0" fontId="101" fillId="24" borderId="11" xfId="0" applyFont="1" applyFill="1" applyBorder="1"/>
    <xf numFmtId="0" fontId="101" fillId="0" borderId="0" xfId="0" applyFont="1" applyFill="1" applyBorder="1"/>
    <xf numFmtId="0" fontId="101" fillId="0" borderId="14" xfId="0" applyFont="1" applyFill="1" applyBorder="1"/>
    <xf numFmtId="0" fontId="101" fillId="0" borderId="11" xfId="0" applyFont="1" applyBorder="1"/>
    <xf numFmtId="0" fontId="101" fillId="24" borderId="14" xfId="0" applyFont="1" applyFill="1" applyBorder="1"/>
    <xf numFmtId="1" fontId="103" fillId="32" borderId="31" xfId="0" applyNumberFormat="1" applyFont="1" applyFill="1" applyBorder="1"/>
    <xf numFmtId="0" fontId="103" fillId="32" borderId="13" xfId="0" applyFont="1" applyFill="1" applyBorder="1"/>
    <xf numFmtId="1" fontId="103" fillId="32" borderId="13" xfId="0" applyNumberFormat="1" applyFont="1" applyFill="1" applyBorder="1"/>
    <xf numFmtId="0" fontId="139" fillId="0" borderId="0" xfId="0" applyFont="1" applyBorder="1" applyAlignment="1">
      <alignment horizontal="left"/>
    </xf>
    <xf numFmtId="0" fontId="101" fillId="0" borderId="10" xfId="0" applyFont="1" applyFill="1" applyBorder="1"/>
    <xf numFmtId="0" fontId="103" fillId="0" borderId="10" xfId="0" applyFont="1" applyFill="1" applyBorder="1"/>
    <xf numFmtId="0" fontId="140" fillId="0" borderId="0" xfId="0" applyFont="1" applyBorder="1" applyAlignment="1">
      <alignment horizontal="left"/>
    </xf>
    <xf numFmtId="14" fontId="102" fillId="0" borderId="0" xfId="0" applyNumberFormat="1" applyFont="1" applyBorder="1"/>
    <xf numFmtId="0" fontId="118" fillId="0" borderId="0" xfId="0" applyFont="1" applyBorder="1"/>
    <xf numFmtId="0" fontId="129" fillId="0" borderId="0" xfId="0" applyFont="1" applyBorder="1"/>
    <xf numFmtId="0" fontId="129" fillId="0" borderId="0" xfId="0" applyFont="1" applyBorder="1" applyAlignment="1">
      <alignment horizontal="right"/>
    </xf>
    <xf numFmtId="0" fontId="129" fillId="0" borderId="0" xfId="0" applyFont="1" applyBorder="1" applyAlignment="1">
      <alignment horizontal="center"/>
    </xf>
    <xf numFmtId="0" fontId="139" fillId="0" borderId="0" xfId="0" applyFont="1" applyBorder="1"/>
    <xf numFmtId="0" fontId="104" fillId="0" borderId="0" xfId="0" applyFont="1" applyFill="1" applyBorder="1" applyAlignment="1">
      <alignment horizontal="left"/>
    </xf>
    <xf numFmtId="0" fontId="108" fillId="32" borderId="13" xfId="0" applyFont="1" applyFill="1" applyBorder="1"/>
    <xf numFmtId="0" fontId="133" fillId="0" borderId="0" xfId="0" applyFont="1"/>
    <xf numFmtId="0" fontId="128" fillId="0" borderId="0" xfId="0" applyFont="1" applyBorder="1"/>
    <xf numFmtId="0" fontId="133" fillId="24" borderId="0" xfId="0" applyFont="1" applyFill="1" applyBorder="1"/>
    <xf numFmtId="9" fontId="103" fillId="0" borderId="0" xfId="0" applyNumberFormat="1" applyFont="1" applyBorder="1" applyAlignment="1">
      <alignment horizontal="center"/>
    </xf>
    <xf numFmtId="0" fontId="104" fillId="0" borderId="0" xfId="0" applyFont="1" applyBorder="1" applyAlignment="1">
      <alignment horizontal="center"/>
    </xf>
    <xf numFmtId="0" fontId="141" fillId="0" borderId="0" xfId="0" applyFont="1" applyBorder="1"/>
    <xf numFmtId="0" fontId="103" fillId="0" borderId="14" xfId="0" applyFont="1" applyBorder="1"/>
    <xf numFmtId="0" fontId="101" fillId="0" borderId="0" xfId="0" applyFont="1"/>
    <xf numFmtId="0" fontId="101" fillId="0" borderId="14" xfId="0" applyFont="1" applyBorder="1"/>
    <xf numFmtId="1" fontId="103" fillId="0" borderId="0" xfId="0" applyNumberFormat="1" applyFont="1" applyBorder="1" applyAlignment="1">
      <alignment horizontal="right"/>
    </xf>
    <xf numFmtId="1" fontId="103" fillId="0" borderId="0" xfId="0" applyNumberFormat="1" applyFont="1"/>
    <xf numFmtId="0" fontId="142" fillId="0" borderId="0" xfId="0" applyFont="1" applyBorder="1" applyAlignment="1">
      <alignment horizontal="center"/>
    </xf>
    <xf numFmtId="0" fontId="110" fillId="32" borderId="0" xfId="0" applyFont="1" applyFill="1" applyBorder="1"/>
    <xf numFmtId="9" fontId="101" fillId="32" borderId="0" xfId="0" applyNumberFormat="1" applyFont="1" applyFill="1" applyBorder="1" applyAlignment="1">
      <alignment horizontal="center"/>
    </xf>
    <xf numFmtId="0" fontId="143" fillId="0" borderId="0" xfId="0" applyFont="1" applyBorder="1" applyAlignment="1">
      <alignment horizontal="center"/>
    </xf>
    <xf numFmtId="0" fontId="104" fillId="0" borderId="0" xfId="0" applyFont="1"/>
    <xf numFmtId="0" fontId="3" fillId="24" borderId="0" xfId="0" applyFont="1" applyFill="1" applyBorder="1"/>
    <xf numFmtId="0" fontId="18" fillId="0" borderId="0" xfId="0" applyFont="1" applyBorder="1"/>
    <xf numFmtId="0" fontId="108" fillId="32" borderId="12" xfId="0" applyFont="1" applyFill="1" applyBorder="1"/>
    <xf numFmtId="0" fontId="103" fillId="24" borderId="17" xfId="0" applyFont="1" applyFill="1" applyBorder="1"/>
    <xf numFmtId="0" fontId="101" fillId="0" borderId="0" xfId="0" applyFont="1" applyBorder="1" applyAlignment="1">
      <alignment horizontal="right"/>
    </xf>
    <xf numFmtId="1" fontId="103" fillId="0" borderId="18" xfId="0" applyNumberFormat="1" applyFont="1" applyBorder="1" applyAlignment="1">
      <alignment horizontal="right"/>
    </xf>
    <xf numFmtId="0" fontId="101" fillId="0" borderId="0" xfId="0" applyFont="1" applyBorder="1" applyAlignment="1">
      <alignment horizontal="left" indent="1"/>
    </xf>
    <xf numFmtId="0" fontId="117" fillId="0" borderId="0" xfId="0" applyFont="1" applyBorder="1" applyAlignment="1">
      <alignment horizontal="left" shrinkToFit="1"/>
    </xf>
    <xf numFmtId="0" fontId="117" fillId="0" borderId="27" xfId="0" applyFont="1" applyBorder="1" applyAlignment="1">
      <alignment horizontal="left" shrinkToFit="1"/>
    </xf>
    <xf numFmtId="164" fontId="102" fillId="0" borderId="0" xfId="0" applyNumberFormat="1" applyFont="1" applyFill="1" applyBorder="1"/>
    <xf numFmtId="164" fontId="102" fillId="24" borderId="0" xfId="0" applyNumberFormat="1" applyFont="1" applyFill="1" applyBorder="1" applyAlignment="1">
      <alignment horizontal="left" indent="6"/>
    </xf>
    <xf numFmtId="9" fontId="101" fillId="0" borderId="0" xfId="0" applyNumberFormat="1" applyFont="1" applyFill="1" applyBorder="1" applyAlignment="1">
      <alignment horizontal="center"/>
    </xf>
    <xf numFmtId="164" fontId="101" fillId="0" borderId="0" xfId="0" applyNumberFormat="1" applyFont="1" applyBorder="1"/>
    <xf numFmtId="14" fontId="103" fillId="0" borderId="0" xfId="0" applyNumberFormat="1" applyFont="1" applyBorder="1" applyAlignment="1">
      <alignment horizontal="center"/>
    </xf>
    <xf numFmtId="14" fontId="117" fillId="0" borderId="0" xfId="0" applyNumberFormat="1" applyFont="1" applyBorder="1" applyAlignment="1">
      <alignment horizontal="center" shrinkToFit="1"/>
    </xf>
    <xf numFmtId="0" fontId="103" fillId="0" borderId="27" xfId="0" applyFont="1" applyBorder="1" applyAlignment="1"/>
    <xf numFmtId="0" fontId="103" fillId="0" borderId="27" xfId="0" applyFont="1" applyBorder="1" applyAlignment="1">
      <alignment horizontal="center"/>
    </xf>
    <xf numFmtId="0" fontId="102" fillId="0" borderId="27" xfId="0" applyFont="1" applyFill="1" applyBorder="1" applyAlignment="1">
      <alignment horizontal="left"/>
    </xf>
    <xf numFmtId="14" fontId="117" fillId="0" borderId="27" xfId="0" applyNumberFormat="1" applyFont="1" applyBorder="1" applyAlignment="1">
      <alignment horizontal="center" shrinkToFit="1"/>
    </xf>
    <xf numFmtId="0" fontId="108" fillId="0" borderId="27" xfId="0" applyFont="1" applyBorder="1"/>
    <xf numFmtId="169" fontId="103" fillId="0" borderId="0" xfId="0" applyNumberFormat="1" applyFont="1"/>
    <xf numFmtId="0" fontId="103" fillId="0" borderId="12" xfId="0" applyFont="1" applyBorder="1"/>
    <xf numFmtId="0" fontId="134" fillId="0" borderId="0" xfId="0" applyFont="1"/>
    <xf numFmtId="0" fontId="144" fillId="0" borderId="0" xfId="0" applyFont="1"/>
    <xf numFmtId="0" fontId="145" fillId="0" borderId="0" xfId="0" applyFont="1"/>
    <xf numFmtId="0" fontId="146" fillId="0" borderId="0" xfId="0" applyFont="1"/>
    <xf numFmtId="14" fontId="19" fillId="0" borderId="0" xfId="0" applyNumberFormat="1" applyFont="1" applyAlignment="1">
      <alignment horizontal="center"/>
    </xf>
    <xf numFmtId="0" fontId="108" fillId="32" borderId="0" xfId="0" applyFont="1" applyFill="1"/>
    <xf numFmtId="0" fontId="108" fillId="0" borderId="0" xfId="0" applyFont="1"/>
    <xf numFmtId="0" fontId="147" fillId="0" borderId="12" xfId="0" applyFont="1" applyBorder="1"/>
    <xf numFmtId="9" fontId="3" fillId="0" borderId="0" xfId="0" applyNumberFormat="1" applyFont="1" applyAlignment="1">
      <alignment horizontal="center"/>
    </xf>
    <xf numFmtId="0" fontId="149" fillId="0" borderId="0" xfId="50" applyFont="1" applyFill="1" applyAlignment="1">
      <alignment horizontal="center"/>
    </xf>
    <xf numFmtId="0" fontId="148" fillId="0" borderId="37" xfId="0" applyFont="1" applyFill="1" applyBorder="1" applyAlignment="1">
      <alignment horizontal="center"/>
    </xf>
    <xf numFmtId="0" fontId="148" fillId="39" borderId="37" xfId="0" applyFont="1" applyFill="1" applyBorder="1" applyAlignment="1">
      <alignment horizontal="center"/>
    </xf>
    <xf numFmtId="0" fontId="150" fillId="0" borderId="37" xfId="0" applyFont="1" applyFill="1" applyBorder="1" applyAlignment="1">
      <alignment horizontal="center"/>
    </xf>
    <xf numFmtId="0" fontId="150" fillId="40" borderId="37" xfId="0" applyFont="1" applyFill="1" applyBorder="1" applyAlignment="1">
      <alignment horizontal="left" indent="1"/>
    </xf>
    <xf numFmtId="0" fontId="150" fillId="40" borderId="37" xfId="0" applyFont="1" applyFill="1" applyBorder="1" applyAlignment="1">
      <alignment horizontal="center"/>
    </xf>
    <xf numFmtId="0" fontId="150" fillId="0" borderId="37" xfId="0" applyFont="1" applyFill="1" applyBorder="1" applyAlignment="1">
      <alignment horizontal="left" indent="1"/>
    </xf>
    <xf numFmtId="0" fontId="150" fillId="41" borderId="37" xfId="0" applyFont="1" applyFill="1" applyBorder="1" applyAlignment="1">
      <alignment horizontal="left" indent="1"/>
    </xf>
    <xf numFmtId="0" fontId="150" fillId="41" borderId="37" xfId="0" applyFont="1" applyFill="1" applyBorder="1" applyAlignment="1">
      <alignment horizontal="center"/>
    </xf>
    <xf numFmtId="0" fontId="150" fillId="42" borderId="37" xfId="0" applyFont="1" applyFill="1" applyBorder="1" applyAlignment="1">
      <alignment horizontal="left" indent="1"/>
    </xf>
    <xf numFmtId="0" fontId="150" fillId="42" borderId="37" xfId="0" applyFont="1" applyFill="1" applyBorder="1" applyAlignment="1">
      <alignment horizontal="center"/>
    </xf>
    <xf numFmtId="0" fontId="150" fillId="39" borderId="37" xfId="0" applyFont="1" applyFill="1" applyBorder="1" applyAlignment="1">
      <alignment horizontal="left" indent="1"/>
    </xf>
    <xf numFmtId="0" fontId="150" fillId="39" borderId="37" xfId="0" applyFont="1" applyFill="1" applyBorder="1" applyAlignment="1">
      <alignment horizontal="center"/>
    </xf>
    <xf numFmtId="0" fontId="150" fillId="43" borderId="37" xfId="0" applyFont="1" applyFill="1" applyBorder="1" applyAlignment="1">
      <alignment horizontal="left" indent="1"/>
    </xf>
    <xf numFmtId="0" fontId="150" fillId="43" borderId="37" xfId="0" applyFont="1" applyFill="1" applyBorder="1" applyAlignment="1">
      <alignment horizontal="center"/>
    </xf>
    <xf numFmtId="0" fontId="150" fillId="44" borderId="37" xfId="0" applyFont="1" applyFill="1" applyBorder="1" applyAlignment="1">
      <alignment horizontal="left" indent="1"/>
    </xf>
    <xf numFmtId="0" fontId="150" fillId="44" borderId="37" xfId="0" applyFont="1" applyFill="1" applyBorder="1" applyAlignment="1">
      <alignment horizontal="center"/>
    </xf>
    <xf numFmtId="0" fontId="150" fillId="45" borderId="37" xfId="0" applyFont="1" applyFill="1" applyBorder="1" applyAlignment="1">
      <alignment horizontal="left" indent="1"/>
    </xf>
    <xf numFmtId="0" fontId="150" fillId="45" borderId="37" xfId="0" applyFont="1" applyFill="1" applyBorder="1" applyAlignment="1">
      <alignment horizontal="center"/>
    </xf>
    <xf numFmtId="14" fontId="151" fillId="0" borderId="0" xfId="0" applyNumberFormat="1" applyFont="1" applyFill="1" applyBorder="1" applyAlignment="1">
      <alignment horizontal="center"/>
    </xf>
    <xf numFmtId="0" fontId="150" fillId="0" borderId="0" xfId="0" applyFont="1" applyFill="1" applyBorder="1"/>
    <xf numFmtId="0" fontId="150" fillId="0" borderId="0" xfId="0" applyFont="1" applyFill="1" applyBorder="1" applyAlignment="1">
      <alignment horizontal="left" indent="1"/>
    </xf>
    <xf numFmtId="0" fontId="152" fillId="0" borderId="0" xfId="0" applyFont="1" applyFill="1" applyBorder="1" applyAlignment="1">
      <alignment horizontal="right"/>
    </xf>
    <xf numFmtId="0" fontId="149" fillId="0" borderId="0" xfId="50" applyFont="1" applyFill="1" applyAlignment="1">
      <alignment horizontal="left" indent="1"/>
    </xf>
    <xf numFmtId="0" fontId="149" fillId="0" borderId="0" xfId="50" applyFont="1" applyFill="1"/>
    <xf numFmtId="14" fontId="103" fillId="0" borderId="27" xfId="0" applyNumberFormat="1" applyFont="1" applyBorder="1" applyAlignment="1"/>
    <xf numFmtId="0" fontId="103" fillId="35" borderId="0" xfId="0" applyFont="1" applyFill="1" applyAlignment="1">
      <alignment horizontal="center"/>
    </xf>
    <xf numFmtId="9" fontId="103" fillId="0" borderId="0" xfId="0" applyNumberFormat="1" applyFont="1" applyAlignment="1">
      <alignment horizontal="center"/>
    </xf>
    <xf numFmtId="0" fontId="117" fillId="0" borderId="0" xfId="0" applyFont="1" applyBorder="1" applyAlignment="1">
      <alignment horizontal="left" shrinkToFit="1"/>
    </xf>
    <xf numFmtId="0" fontId="117" fillId="0" borderId="27" xfId="0" applyFont="1" applyBorder="1" applyAlignment="1">
      <alignment horizontal="left" shrinkToFit="1"/>
    </xf>
    <xf numFmtId="14" fontId="103" fillId="0" borderId="0" xfId="0" applyNumberFormat="1" applyFont="1" applyBorder="1" applyAlignment="1"/>
    <xf numFmtId="1" fontId="103" fillId="0" borderId="0" xfId="0" applyNumberFormat="1" applyFont="1" applyBorder="1" applyAlignment="1"/>
    <xf numFmtId="9" fontId="103" fillId="0" borderId="0" xfId="0" applyNumberFormat="1" applyFont="1" applyBorder="1" applyAlignment="1"/>
    <xf numFmtId="0" fontId="105" fillId="32" borderId="0" xfId="0" applyFont="1" applyFill="1"/>
    <xf numFmtId="0" fontId="5" fillId="0" borderId="37" xfId="0" applyFont="1" applyBorder="1" applyAlignment="1">
      <alignment horizontal="center" vertical="center"/>
    </xf>
    <xf numFmtId="0" fontId="5" fillId="0" borderId="37" xfId="0" applyFont="1" applyBorder="1" applyAlignment="1">
      <alignment horizontal="center" vertical="center" wrapText="1"/>
    </xf>
    <xf numFmtId="0" fontId="0" fillId="0" borderId="37" xfId="0" applyBorder="1"/>
    <xf numFmtId="0" fontId="0" fillId="0" borderId="37" xfId="0" applyBorder="1" applyAlignment="1">
      <alignment horizontal="center"/>
    </xf>
    <xf numFmtId="0" fontId="103" fillId="0" borderId="0" xfId="0" applyFont="1" applyAlignment="1">
      <alignment horizontal="center"/>
    </xf>
    <xf numFmtId="0" fontId="103" fillId="0" borderId="0" xfId="0" applyFont="1" applyFill="1" applyAlignment="1">
      <alignment horizontal="center"/>
    </xf>
    <xf numFmtId="0" fontId="103" fillId="0" borderId="0" xfId="0" applyFont="1" applyFill="1"/>
    <xf numFmtId="0" fontId="103" fillId="0" borderId="0" xfId="0" applyFont="1" applyFill="1" applyAlignment="1">
      <alignment horizontal="left"/>
    </xf>
    <xf numFmtId="0" fontId="104" fillId="0" borderId="0" xfId="0" applyFont="1" applyAlignment="1">
      <alignment horizontal="center"/>
    </xf>
    <xf numFmtId="0" fontId="104" fillId="0" borderId="0" xfId="0" applyFont="1" applyFill="1" applyBorder="1"/>
    <xf numFmtId="0" fontId="101" fillId="0" borderId="0" xfId="0" applyFont="1" applyAlignment="1">
      <alignment horizontal="center"/>
    </xf>
    <xf numFmtId="0" fontId="103" fillId="0" borderId="11" xfId="0" applyFont="1" applyFill="1" applyBorder="1"/>
    <xf numFmtId="0" fontId="103" fillId="34" borderId="20" xfId="0" applyFont="1" applyFill="1" applyBorder="1"/>
    <xf numFmtId="0" fontId="101" fillId="34" borderId="28" xfId="0" applyFont="1" applyFill="1" applyBorder="1"/>
    <xf numFmtId="0" fontId="101" fillId="34" borderId="28" xfId="0" applyFont="1" applyFill="1" applyBorder="1" applyAlignment="1">
      <alignment horizontal="center"/>
    </xf>
    <xf numFmtId="0" fontId="101" fillId="34" borderId="41" xfId="0" applyFont="1" applyFill="1" applyBorder="1" applyAlignment="1">
      <alignment horizontal="center"/>
    </xf>
    <xf numFmtId="0" fontId="103" fillId="34" borderId="22" xfId="0" applyFont="1" applyFill="1" applyBorder="1"/>
    <xf numFmtId="0" fontId="101" fillId="34" borderId="0" xfId="0" applyFont="1" applyFill="1" applyBorder="1"/>
    <xf numFmtId="0" fontId="101" fillId="34" borderId="23" xfId="0" applyFont="1" applyFill="1" applyBorder="1"/>
    <xf numFmtId="0" fontId="161" fillId="34" borderId="22" xfId="0" applyFont="1" applyFill="1" applyBorder="1" applyAlignment="1">
      <alignment horizontal="center"/>
    </xf>
    <xf numFmtId="0" fontId="101" fillId="34" borderId="27" xfId="0" applyFont="1" applyFill="1" applyBorder="1"/>
    <xf numFmtId="0" fontId="101" fillId="34" borderId="42" xfId="0" applyFont="1" applyFill="1" applyBorder="1"/>
    <xf numFmtId="0" fontId="103" fillId="50" borderId="20" xfId="0" applyFont="1" applyFill="1" applyBorder="1"/>
    <xf numFmtId="0" fontId="103" fillId="50" borderId="28" xfId="0" applyFont="1" applyFill="1" applyBorder="1"/>
    <xf numFmtId="0" fontId="103" fillId="50" borderId="41" xfId="0" applyFont="1" applyFill="1" applyBorder="1"/>
    <xf numFmtId="0" fontId="103" fillId="50" borderId="22" xfId="0" applyFont="1" applyFill="1" applyBorder="1" applyAlignment="1">
      <alignment horizontal="left" indent="2"/>
    </xf>
    <xf numFmtId="0" fontId="103" fillId="50" borderId="0" xfId="0" applyFont="1" applyFill="1" applyBorder="1"/>
    <xf numFmtId="0" fontId="103" fillId="50" borderId="23" xfId="0" applyFont="1" applyFill="1" applyBorder="1"/>
    <xf numFmtId="0" fontId="103" fillId="50" borderId="22" xfId="0" applyFont="1" applyFill="1" applyBorder="1"/>
    <xf numFmtId="0" fontId="103" fillId="50" borderId="30" xfId="0" applyFont="1" applyFill="1" applyBorder="1"/>
    <xf numFmtId="0" fontId="103" fillId="50" borderId="27" xfId="0" applyFont="1" applyFill="1" applyBorder="1"/>
    <xf numFmtId="0" fontId="108" fillId="50" borderId="54" xfId="0" applyFont="1" applyFill="1" applyBorder="1"/>
    <xf numFmtId="0" fontId="103" fillId="51" borderId="20" xfId="0" applyFont="1" applyFill="1" applyBorder="1" applyAlignment="1">
      <alignment horizontal="center"/>
    </xf>
    <xf numFmtId="0" fontId="103" fillId="51" borderId="28" xfId="0" applyFont="1" applyFill="1" applyBorder="1"/>
    <xf numFmtId="0" fontId="103" fillId="51" borderId="41" xfId="0" applyFont="1" applyFill="1" applyBorder="1"/>
    <xf numFmtId="0" fontId="103" fillId="51" borderId="22" xfId="0" applyFont="1" applyFill="1" applyBorder="1" applyAlignment="1">
      <alignment horizontal="center"/>
    </xf>
    <xf numFmtId="0" fontId="103" fillId="51" borderId="0" xfId="0" applyFont="1" applyFill="1" applyBorder="1"/>
    <xf numFmtId="0" fontId="103" fillId="51" borderId="23" xfId="0" applyFont="1" applyFill="1" applyBorder="1"/>
    <xf numFmtId="0" fontId="103" fillId="51" borderId="30" xfId="0" applyFont="1" applyFill="1" applyBorder="1" applyAlignment="1">
      <alignment horizontal="center"/>
    </xf>
    <xf numFmtId="0" fontId="103" fillId="51" borderId="27" xfId="0" applyFont="1" applyFill="1" applyBorder="1"/>
    <xf numFmtId="0" fontId="103" fillId="51" borderId="42" xfId="0" applyFont="1" applyFill="1" applyBorder="1"/>
    <xf numFmtId="0" fontId="133" fillId="50" borderId="23" xfId="0" applyFont="1" applyFill="1" applyBorder="1" applyAlignment="1"/>
    <xf numFmtId="0" fontId="133" fillId="50" borderId="23" xfId="0" applyFont="1" applyFill="1" applyBorder="1"/>
    <xf numFmtId="9" fontId="101" fillId="0" borderId="0" xfId="0" applyNumberFormat="1" applyFont="1" applyAlignment="1">
      <alignment horizontal="center"/>
    </xf>
    <xf numFmtId="0" fontId="128" fillId="34" borderId="23" xfId="0" applyFont="1" applyFill="1" applyBorder="1"/>
    <xf numFmtId="0" fontId="162" fillId="0" borderId="0" xfId="0" applyFont="1" applyBorder="1"/>
    <xf numFmtId="0" fontId="164" fillId="0" borderId="0" xfId="0" applyFont="1" applyAlignment="1">
      <alignment horizontal="left" vertical="center"/>
    </xf>
    <xf numFmtId="0" fontId="163" fillId="0" borderId="0" xfId="0" applyFont="1" applyAlignment="1">
      <alignment horizontal="left" vertical="center"/>
    </xf>
    <xf numFmtId="0" fontId="166" fillId="34" borderId="30" xfId="0" applyFont="1" applyFill="1" applyBorder="1" applyAlignment="1">
      <alignment horizontal="center"/>
    </xf>
    <xf numFmtId="0" fontId="163" fillId="0" borderId="0" xfId="0" applyFont="1" applyAlignment="1">
      <alignment horizontal="right" vertical="center"/>
    </xf>
    <xf numFmtId="0" fontId="163" fillId="0" borderId="0" xfId="0" applyFont="1" applyAlignment="1">
      <alignment vertical="center"/>
    </xf>
    <xf numFmtId="0" fontId="166" fillId="0" borderId="0" xfId="0" applyFont="1" applyAlignment="1">
      <alignment horizontal="left" vertical="center"/>
    </xf>
    <xf numFmtId="1" fontId="104" fillId="0" borderId="0" xfId="0" applyNumberFormat="1" applyFont="1" applyBorder="1" applyAlignment="1">
      <alignment shrinkToFit="1"/>
    </xf>
    <xf numFmtId="0" fontId="103" fillId="0" borderId="0" xfId="0" applyFont="1" applyBorder="1" applyAlignment="1"/>
    <xf numFmtId="0" fontId="120" fillId="0" borderId="0" xfId="0" applyFont="1" applyFill="1" applyBorder="1" applyAlignment="1">
      <alignment horizontal="center"/>
    </xf>
    <xf numFmtId="0" fontId="139" fillId="0" borderId="0" xfId="0" applyFont="1" applyAlignment="1">
      <alignment horizontal="center"/>
    </xf>
    <xf numFmtId="1" fontId="134" fillId="0" borderId="0" xfId="0" applyNumberFormat="1" applyFont="1" applyBorder="1" applyAlignment="1">
      <alignment horizontal="right" indent="1"/>
    </xf>
    <xf numFmtId="0" fontId="167" fillId="0" borderId="0" xfId="0" applyFont="1" applyBorder="1"/>
    <xf numFmtId="0" fontId="103" fillId="0" borderId="0" xfId="51" applyFont="1" applyFill="1"/>
    <xf numFmtId="0" fontId="103" fillId="0" borderId="0" xfId="51" applyFont="1" applyFill="1" applyAlignment="1">
      <alignment horizontal="left"/>
    </xf>
    <xf numFmtId="0" fontId="114" fillId="0" borderId="0" xfId="51" applyFont="1" applyFill="1" applyAlignment="1">
      <alignment horizontal="left"/>
    </xf>
    <xf numFmtId="0" fontId="153" fillId="0" borderId="0" xfId="51" applyFont="1" applyFill="1" applyAlignment="1">
      <alignment horizontal="center"/>
    </xf>
    <xf numFmtId="0" fontId="160" fillId="0" borderId="0" xfId="51" applyFont="1" applyFill="1" applyAlignment="1">
      <alignment horizontal="center"/>
    </xf>
    <xf numFmtId="0" fontId="101" fillId="0" borderId="0" xfId="51" applyFont="1" applyFill="1" applyAlignment="1">
      <alignment horizontal="right"/>
    </xf>
    <xf numFmtId="0" fontId="165" fillId="0" borderId="0" xfId="51" applyFont="1" applyFill="1" applyAlignment="1">
      <alignment horizontal="left"/>
    </xf>
    <xf numFmtId="9" fontId="103" fillId="0" borderId="0" xfId="0" applyNumberFormat="1" applyFont="1"/>
    <xf numFmtId="0" fontId="167" fillId="0" borderId="0" xfId="51" applyFont="1" applyFill="1" applyAlignment="1">
      <alignment horizontal="left" indent="1"/>
    </xf>
    <xf numFmtId="0" fontId="165" fillId="0" borderId="31" xfId="51" applyFont="1" applyFill="1" applyBorder="1"/>
    <xf numFmtId="0" fontId="101" fillId="0" borderId="14" xfId="51" applyFont="1" applyFill="1" applyBorder="1" applyAlignment="1">
      <alignment horizontal="right"/>
    </xf>
    <xf numFmtId="0" fontId="108" fillId="32" borderId="0" xfId="51" applyFont="1" applyFill="1" applyAlignment="1">
      <alignment horizontal="left"/>
    </xf>
    <xf numFmtId="0" fontId="108" fillId="32" borderId="0" xfId="0" applyFont="1" applyFill="1" applyAlignment="1">
      <alignment horizontal="left"/>
    </xf>
    <xf numFmtId="0" fontId="123" fillId="0" borderId="22" xfId="0" applyFont="1" applyBorder="1" applyAlignment="1">
      <alignment horizontal="center"/>
    </xf>
    <xf numFmtId="0" fontId="123" fillId="0" borderId="0" xfId="0" applyFont="1" applyBorder="1" applyAlignment="1">
      <alignment horizontal="center"/>
    </xf>
    <xf numFmtId="0" fontId="123" fillId="0" borderId="23" xfId="0" applyFont="1" applyBorder="1" applyAlignment="1">
      <alignment horizontal="center"/>
    </xf>
    <xf numFmtId="0" fontId="169" fillId="0" borderId="0" xfId="0" applyFont="1" applyFill="1" applyBorder="1" applyAlignment="1">
      <alignment horizontal="left"/>
    </xf>
    <xf numFmtId="3" fontId="168" fillId="0" borderId="0" xfId="0" applyNumberFormat="1" applyFont="1" applyBorder="1" applyAlignment="1">
      <alignment horizontal="right"/>
    </xf>
    <xf numFmtId="1" fontId="103" fillId="0" borderId="0" xfId="51" applyNumberFormat="1" applyFont="1" applyFill="1" applyAlignment="1">
      <alignment horizontal="right"/>
    </xf>
    <xf numFmtId="1" fontId="108" fillId="32" borderId="0" xfId="51" applyNumberFormat="1" applyFont="1" applyFill="1" applyAlignment="1">
      <alignment horizontal="right"/>
    </xf>
    <xf numFmtId="0" fontId="101" fillId="0" borderId="0" xfId="51" applyFont="1" applyFill="1"/>
    <xf numFmtId="0" fontId="101" fillId="0" borderId="0" xfId="0" applyFont="1" applyFill="1"/>
    <xf numFmtId="0" fontId="128" fillId="32" borderId="0" xfId="51" applyFont="1" applyFill="1"/>
    <xf numFmtId="0" fontId="117" fillId="0" borderId="0" xfId="0" applyFont="1" applyBorder="1" applyAlignment="1">
      <alignment horizontal="left" shrinkToFit="1"/>
    </xf>
    <xf numFmtId="0" fontId="117" fillId="0" borderId="27" xfId="0" applyFont="1" applyBorder="1" applyAlignment="1">
      <alignment horizontal="left" shrinkToFit="1"/>
    </xf>
    <xf numFmtId="0" fontId="103" fillId="0" borderId="0" xfId="51" applyFont="1" applyFill="1" applyAlignment="1">
      <alignment horizontal="left" indent="1"/>
    </xf>
    <xf numFmtId="1" fontId="103" fillId="24" borderId="14" xfId="0" applyNumberFormat="1" applyFont="1" applyFill="1" applyBorder="1"/>
    <xf numFmtId="0" fontId="170" fillId="32" borderId="41" xfId="0" applyFont="1" applyFill="1" applyBorder="1" applyAlignment="1"/>
    <xf numFmtId="0" fontId="140" fillId="0" borderId="0" xfId="0" applyFont="1" applyBorder="1"/>
    <xf numFmtId="0" fontId="140" fillId="0" borderId="0" xfId="51" applyFont="1" applyFill="1"/>
    <xf numFmtId="0" fontId="103" fillId="32" borderId="0" xfId="0" applyFont="1" applyFill="1" applyAlignment="1">
      <alignment horizontal="left" indent="3"/>
    </xf>
    <xf numFmtId="1" fontId="134" fillId="0" borderId="0" xfId="0" applyNumberFormat="1" applyFont="1" applyBorder="1"/>
    <xf numFmtId="0" fontId="171" fillId="0" borderId="0" xfId="0" applyFont="1" applyBorder="1" applyAlignment="1">
      <alignment horizontal="left"/>
    </xf>
    <xf numFmtId="0" fontId="167" fillId="0" borderId="0" xfId="0" applyFont="1"/>
    <xf numFmtId="0" fontId="103" fillId="32" borderId="0" xfId="0" applyFont="1" applyFill="1"/>
    <xf numFmtId="14" fontId="102" fillId="0" borderId="0" xfId="0" applyNumberFormat="1" applyFont="1" applyBorder="1" applyAlignment="1">
      <alignment horizontal="center"/>
    </xf>
    <xf numFmtId="0" fontId="117" fillId="0" borderId="0" xfId="0" applyFont="1" applyBorder="1" applyAlignment="1">
      <alignment horizontal="left" shrinkToFit="1"/>
    </xf>
    <xf numFmtId="0" fontId="117" fillId="0" borderId="27" xfId="0" applyFont="1" applyBorder="1" applyAlignment="1">
      <alignment horizontal="left" shrinkToFit="1"/>
    </xf>
    <xf numFmtId="0" fontId="112" fillId="0" borderId="28" xfId="0" applyFont="1" applyBorder="1"/>
    <xf numFmtId="0" fontId="112" fillId="0" borderId="0" xfId="0" applyFont="1" applyFill="1" applyBorder="1"/>
    <xf numFmtId="3" fontId="111" fillId="0" borderId="0" xfId="0" applyNumberFormat="1" applyFont="1" applyBorder="1" applyAlignment="1">
      <alignment horizontal="center"/>
    </xf>
    <xf numFmtId="0" fontId="111" fillId="0" borderId="0" xfId="0" applyFont="1" applyBorder="1" applyAlignment="1">
      <alignment horizontal="center"/>
    </xf>
    <xf numFmtId="0" fontId="110" fillId="0" borderId="0" xfId="0" applyFont="1" applyBorder="1" applyAlignment="1">
      <alignment vertical="center"/>
    </xf>
    <xf numFmtId="0" fontId="101" fillId="0" borderId="0" xfId="0" applyFont="1" applyBorder="1" applyAlignment="1">
      <alignment horizontal="left" indent="2"/>
    </xf>
    <xf numFmtId="14" fontId="104" fillId="0" borderId="0" xfId="0" applyNumberFormat="1" applyFont="1" applyBorder="1" applyAlignment="1">
      <alignment horizontal="center"/>
    </xf>
    <xf numFmtId="14" fontId="101" fillId="0" borderId="0" xfId="0" applyNumberFormat="1" applyFont="1" applyBorder="1" applyAlignment="1">
      <alignment horizontal="center"/>
    </xf>
    <xf numFmtId="0" fontId="115" fillId="0" borderId="0" xfId="0" applyFont="1" applyBorder="1" applyAlignment="1">
      <alignment horizontal="center"/>
    </xf>
    <xf numFmtId="0" fontId="174" fillId="0" borderId="0" xfId="0" applyFont="1" applyBorder="1" applyAlignment="1">
      <alignment horizontal="center"/>
    </xf>
    <xf numFmtId="0" fontId="109" fillId="0" borderId="0" xfId="0" applyFont="1" applyBorder="1"/>
    <xf numFmtId="14" fontId="103" fillId="0" borderId="0" xfId="0" applyNumberFormat="1" applyFont="1"/>
    <xf numFmtId="0" fontId="13" fillId="0" borderId="0" xfId="0" applyFont="1" applyAlignment="1">
      <alignment horizontal="right"/>
    </xf>
    <xf numFmtId="0" fontId="114" fillId="0" borderId="0" xfId="0" applyFont="1" applyBorder="1" applyAlignment="1">
      <alignment horizontal="left"/>
    </xf>
    <xf numFmtId="0" fontId="104" fillId="0" borderId="22" xfId="0" applyFont="1" applyBorder="1" applyAlignment="1">
      <alignment horizontal="left" shrinkToFit="1"/>
    </xf>
    <xf numFmtId="0" fontId="107" fillId="0" borderId="0" xfId="0" applyFont="1" applyBorder="1" applyAlignment="1">
      <alignment horizontal="left"/>
    </xf>
    <xf numFmtId="0" fontId="103" fillId="0" borderId="0" xfId="0" applyFont="1" applyAlignment="1">
      <alignment horizontal="right"/>
    </xf>
    <xf numFmtId="0" fontId="103" fillId="0" borderId="0" xfId="0" applyFont="1" applyAlignment="1">
      <alignment horizontal="left" indent="1"/>
    </xf>
    <xf numFmtId="0" fontId="131" fillId="35" borderId="0" xfId="0" applyFont="1" applyFill="1" applyBorder="1"/>
    <xf numFmtId="0" fontId="103" fillId="34" borderId="0" xfId="0" applyFont="1" applyFill="1" applyBorder="1"/>
    <xf numFmtId="14" fontId="117" fillId="0" borderId="0" xfId="0" applyNumberFormat="1" applyFont="1" applyBorder="1" applyAlignment="1">
      <alignment horizontal="center"/>
    </xf>
    <xf numFmtId="0" fontId="101" fillId="0" borderId="0" xfId="0" applyFont="1" applyAlignment="1">
      <alignment horizontal="left" indent="1"/>
    </xf>
    <xf numFmtId="0" fontId="134" fillId="0" borderId="14" xfId="0" applyFont="1" applyBorder="1"/>
    <xf numFmtId="0" fontId="134" fillId="0" borderId="0" xfId="0" applyFont="1" applyBorder="1"/>
    <xf numFmtId="0" fontId="134" fillId="0" borderId="11" xfId="0" applyFont="1" applyBorder="1"/>
    <xf numFmtId="0" fontId="178" fillId="0" borderId="0" xfId="0" applyFont="1" applyBorder="1"/>
    <xf numFmtId="0" fontId="135" fillId="0" borderId="0" xfId="0" applyFont="1" applyBorder="1" applyAlignment="1">
      <alignment horizontal="left"/>
    </xf>
    <xf numFmtId="0" fontId="117" fillId="0" borderId="0" xfId="0" applyFont="1" applyBorder="1"/>
    <xf numFmtId="9" fontId="134" fillId="0" borderId="0" xfId="0" applyNumberFormat="1" applyFont="1" applyBorder="1" applyAlignment="1">
      <alignment horizontal="center"/>
    </xf>
    <xf numFmtId="0" fontId="143" fillId="0" borderId="0" xfId="0" applyFont="1" applyBorder="1" applyAlignment="1">
      <alignment horizontal="right"/>
    </xf>
    <xf numFmtId="0" fontId="179" fillId="0" borderId="0" xfId="0" applyFont="1" applyBorder="1" applyAlignment="1">
      <alignment horizontal="right"/>
    </xf>
    <xf numFmtId="15" fontId="42" fillId="0" borderId="0" xfId="0" applyNumberFormat="1" applyFont="1" applyFill="1" applyBorder="1" applyAlignment="1">
      <alignment horizontal="center" shrinkToFit="1"/>
    </xf>
    <xf numFmtId="0" fontId="180" fillId="52" borderId="20" xfId="0" applyFont="1" applyFill="1" applyBorder="1" applyAlignment="1">
      <alignment horizontal="center"/>
    </xf>
    <xf numFmtId="0" fontId="180" fillId="52" borderId="41" xfId="0" applyFont="1" applyFill="1" applyBorder="1" applyAlignment="1">
      <alignment horizontal="center"/>
    </xf>
    <xf numFmtId="0" fontId="16" fillId="51" borderId="22" xfId="0" applyFont="1" applyFill="1" applyBorder="1" applyAlignment="1">
      <alignment horizontal="center"/>
    </xf>
    <xf numFmtId="0" fontId="16" fillId="30" borderId="23" xfId="0" applyFont="1" applyFill="1" applyBorder="1" applyAlignment="1">
      <alignment horizontal="center"/>
    </xf>
    <xf numFmtId="0" fontId="16" fillId="51" borderId="30" xfId="0" applyFont="1" applyFill="1" applyBorder="1" applyAlignment="1">
      <alignment horizontal="center"/>
    </xf>
    <xf numFmtId="0" fontId="16" fillId="30" borderId="42" xfId="0" applyFont="1" applyFill="1" applyBorder="1" applyAlignment="1">
      <alignment horizontal="center"/>
    </xf>
    <xf numFmtId="0" fontId="101" fillId="0" borderId="0" xfId="0" applyFont="1" applyAlignment="1">
      <alignment horizontal="right"/>
    </xf>
    <xf numFmtId="0" fontId="3" fillId="0" borderId="0" xfId="0" applyFont="1" applyFill="1" applyBorder="1"/>
    <xf numFmtId="0" fontId="134" fillId="0" borderId="0" xfId="0" applyFont="1" applyFill="1" applyBorder="1"/>
    <xf numFmtId="0" fontId="139" fillId="0" borderId="0" xfId="0" applyFont="1"/>
    <xf numFmtId="0" fontId="182" fillId="0" borderId="0" xfId="0" applyFont="1" applyAlignment="1">
      <alignment horizontal="center"/>
    </xf>
    <xf numFmtId="0" fontId="183" fillId="0" borderId="0" xfId="0" applyFont="1" applyAlignment="1">
      <alignment horizontal="left" indent="1"/>
    </xf>
    <xf numFmtId="0" fontId="184" fillId="0" borderId="0" xfId="0" applyFont="1" applyBorder="1" applyAlignment="1">
      <alignment horizontal="center"/>
    </xf>
    <xf numFmtId="0" fontId="185" fillId="0" borderId="0" xfId="0" applyFont="1"/>
    <xf numFmtId="9" fontId="117" fillId="0" borderId="0" xfId="0" applyNumberFormat="1" applyFont="1" applyBorder="1" applyAlignment="1">
      <alignment horizontal="center" shrinkToFit="1"/>
    </xf>
    <xf numFmtId="0" fontId="139" fillId="0" borderId="0" xfId="0" applyFont="1" applyBorder="1" applyAlignment="1">
      <alignment horizontal="center"/>
    </xf>
    <xf numFmtId="14" fontId="129" fillId="0" borderId="0" xfId="0" applyNumberFormat="1" applyFont="1" applyBorder="1" applyAlignment="1"/>
    <xf numFmtId="14" fontId="103" fillId="0" borderId="0" xfId="0" applyNumberFormat="1" applyFont="1" applyAlignment="1">
      <alignment horizontal="center"/>
    </xf>
    <xf numFmtId="0" fontId="187" fillId="0" borderId="0" xfId="0" applyFont="1" applyBorder="1" applyAlignment="1">
      <alignment horizontal="left"/>
    </xf>
    <xf numFmtId="0" fontId="188" fillId="0" borderId="0" xfId="0" applyFont="1" applyFill="1" applyBorder="1" applyAlignment="1">
      <alignment horizontal="center"/>
    </xf>
    <xf numFmtId="0" fontId="103" fillId="35" borderId="0" xfId="0" applyFont="1" applyFill="1" applyBorder="1"/>
    <xf numFmtId="0" fontId="116" fillId="0" borderId="0" xfId="0" applyFont="1" applyAlignment="1">
      <alignment horizontal="right"/>
    </xf>
    <xf numFmtId="3" fontId="134" fillId="0" borderId="0" xfId="0" applyNumberFormat="1" applyFont="1" applyAlignment="1">
      <alignment horizontal="right"/>
    </xf>
    <xf numFmtId="3" fontId="103" fillId="49" borderId="0" xfId="0" applyNumberFormat="1" applyFont="1" applyFill="1"/>
    <xf numFmtId="3" fontId="134" fillId="0" borderId="12" xfId="0" applyNumberFormat="1" applyFont="1" applyBorder="1" applyAlignment="1">
      <alignment horizontal="right"/>
    </xf>
    <xf numFmtId="0" fontId="134" fillId="32" borderId="12" xfId="0" applyFont="1" applyFill="1" applyBorder="1"/>
    <xf numFmtId="164" fontId="102" fillId="0" borderId="0" xfId="0" applyNumberFormat="1" applyFont="1" applyFill="1" applyBorder="1" applyAlignment="1">
      <alignment horizontal="center"/>
    </xf>
    <xf numFmtId="0" fontId="16" fillId="0" borderId="0" xfId="0" applyFont="1" applyBorder="1" applyAlignment="1">
      <alignment horizontal="center"/>
    </xf>
    <xf numFmtId="15" fontId="120" fillId="0" borderId="0" xfId="0" applyNumberFormat="1" applyFont="1" applyFill="1" applyBorder="1" applyAlignment="1">
      <alignment horizontal="center" shrinkToFit="1"/>
    </xf>
    <xf numFmtId="0" fontId="110" fillId="0" borderId="57" xfId="0" applyFont="1" applyBorder="1"/>
    <xf numFmtId="0" fontId="104" fillId="0" borderId="58" xfId="0" applyFont="1" applyBorder="1" applyAlignment="1">
      <alignment shrinkToFit="1"/>
    </xf>
    <xf numFmtId="0" fontId="110" fillId="0" borderId="34" xfId="0" applyFont="1" applyBorder="1"/>
    <xf numFmtId="0" fontId="103" fillId="0" borderId="34" xfId="0" applyFont="1" applyBorder="1"/>
    <xf numFmtId="0" fontId="116" fillId="0" borderId="34" xfId="0" applyFont="1" applyBorder="1" applyAlignment="1">
      <alignment horizontal="right"/>
    </xf>
    <xf numFmtId="0" fontId="102" fillId="0" borderId="34" xfId="0" applyFont="1" applyBorder="1" applyAlignment="1">
      <alignment horizontal="left"/>
    </xf>
    <xf numFmtId="0" fontId="103" fillId="0" borderId="34" xfId="0" applyFont="1" applyBorder="1" applyAlignment="1">
      <alignment horizontal="center"/>
    </xf>
    <xf numFmtId="1" fontId="108" fillId="0" borderId="59" xfId="0" applyNumberFormat="1" applyFont="1" applyBorder="1" applyAlignment="1">
      <alignment horizontal="right"/>
    </xf>
    <xf numFmtId="0" fontId="120" fillId="0" borderId="60" xfId="0" applyFont="1" applyFill="1" applyBorder="1" applyAlignment="1">
      <alignment horizontal="center"/>
    </xf>
    <xf numFmtId="0" fontId="145" fillId="0" borderId="0" xfId="0" applyFont="1" applyFill="1" applyBorder="1" applyAlignment="1">
      <alignment horizontal="left"/>
    </xf>
    <xf numFmtId="0" fontId="134" fillId="24" borderId="11" xfId="0" applyFont="1" applyFill="1" applyBorder="1"/>
    <xf numFmtId="0" fontId="102" fillId="0" borderId="34" xfId="0" applyFont="1" applyFill="1" applyBorder="1" applyAlignment="1">
      <alignment horizontal="left"/>
    </xf>
    <xf numFmtId="0" fontId="104" fillId="0" borderId="21" xfId="0" applyFont="1" applyBorder="1" applyAlignment="1">
      <alignment shrinkToFit="1"/>
    </xf>
    <xf numFmtId="0" fontId="116" fillId="0" borderId="14" xfId="0" applyFont="1" applyBorder="1" applyAlignment="1">
      <alignment horizontal="right"/>
    </xf>
    <xf numFmtId="0" fontId="102" fillId="0" borderId="14" xfId="0" applyFont="1" applyBorder="1" applyAlignment="1">
      <alignment horizontal="left"/>
    </xf>
    <xf numFmtId="0" fontId="103" fillId="0" borderId="11" xfId="0" applyFont="1" applyBorder="1" applyAlignment="1">
      <alignment horizontal="center"/>
    </xf>
    <xf numFmtId="0" fontId="139" fillId="0" borderId="0" xfId="0" applyFont="1" applyBorder="1" applyAlignment="1"/>
    <xf numFmtId="1" fontId="102" fillId="0" borderId="0" xfId="0" applyNumberFormat="1" applyFont="1" applyBorder="1" applyAlignment="1">
      <alignment horizontal="center"/>
    </xf>
    <xf numFmtId="0" fontId="191" fillId="0" borderId="0" xfId="0" applyFont="1" applyBorder="1" applyAlignment="1">
      <alignment horizontal="right"/>
    </xf>
    <xf numFmtId="0" fontId="191" fillId="0" borderId="0" xfId="0" applyFont="1" applyBorder="1" applyAlignment="1">
      <alignment horizontal="center"/>
    </xf>
    <xf numFmtId="1" fontId="103" fillId="0" borderId="12" xfId="0" applyNumberFormat="1" applyFont="1" applyBorder="1"/>
    <xf numFmtId="0" fontId="16" fillId="0" borderId="0" xfId="0" applyFont="1" applyBorder="1" applyAlignment="1">
      <alignment horizontal="center"/>
    </xf>
    <xf numFmtId="0" fontId="103" fillId="0" borderId="0" xfId="0" applyFont="1" applyAlignment="1">
      <alignment horizontal="center"/>
    </xf>
    <xf numFmtId="0" fontId="108" fillId="0" borderId="16" xfId="0" applyFont="1" applyBorder="1"/>
    <xf numFmtId="0" fontId="101" fillId="0" borderId="0" xfId="0" applyFont="1" applyAlignment="1"/>
    <xf numFmtId="10" fontId="110" fillId="32" borderId="0" xfId="53" applyNumberFormat="1" applyFont="1" applyFill="1" applyAlignment="1"/>
    <xf numFmtId="0" fontId="181" fillId="0" borderId="0" xfId="0" applyFont="1" applyFill="1" applyBorder="1" applyAlignment="1">
      <alignment horizontal="center"/>
    </xf>
    <xf numFmtId="0" fontId="117" fillId="32" borderId="0" xfId="0" applyFont="1" applyFill="1" applyBorder="1"/>
    <xf numFmtId="0" fontId="103" fillId="32" borderId="11" xfId="0" applyFont="1" applyFill="1" applyBorder="1"/>
    <xf numFmtId="0" fontId="16" fillId="0" borderId="0" xfId="0" applyFont="1" applyBorder="1" applyAlignment="1">
      <alignment horizontal="center"/>
    </xf>
    <xf numFmtId="0" fontId="103" fillId="32" borderId="26" xfId="0" applyFont="1" applyFill="1" applyBorder="1"/>
    <xf numFmtId="0" fontId="120" fillId="0" borderId="23" xfId="0" applyFont="1" applyFill="1" applyBorder="1" applyAlignment="1">
      <alignment horizontal="center" vertical="center"/>
    </xf>
    <xf numFmtId="0" fontId="16" fillId="0" borderId="0" xfId="0" applyFont="1" applyBorder="1" applyAlignment="1"/>
    <xf numFmtId="0" fontId="101" fillId="0" borderId="22" xfId="0" applyFont="1" applyBorder="1"/>
    <xf numFmtId="0" fontId="103" fillId="0" borderId="21" xfId="0" applyFont="1" applyBorder="1" applyAlignment="1">
      <alignment horizontal="right"/>
    </xf>
    <xf numFmtId="1" fontId="103" fillId="0" borderId="21" xfId="0" applyNumberFormat="1" applyFont="1" applyBorder="1" applyAlignment="1">
      <alignment horizontal="right"/>
    </xf>
    <xf numFmtId="1" fontId="103" fillId="0" borderId="22" xfId="0" applyNumberFormat="1" applyFont="1" applyBorder="1" applyAlignment="1">
      <alignment horizontal="right"/>
    </xf>
    <xf numFmtId="0" fontId="103" fillId="0" borderId="22" xfId="0" applyFont="1" applyBorder="1" applyAlignment="1">
      <alignment horizontal="right"/>
    </xf>
    <xf numFmtId="0" fontId="110" fillId="0" borderId="22" xfId="0" applyFont="1" applyBorder="1"/>
    <xf numFmtId="1" fontId="108" fillId="0" borderId="55" xfId="0" applyNumberFormat="1" applyFont="1" applyBorder="1" applyAlignment="1">
      <alignment horizontal="right"/>
    </xf>
    <xf numFmtId="0" fontId="134" fillId="24" borderId="0" xfId="0" applyFont="1" applyFill="1" applyBorder="1"/>
    <xf numFmtId="0" fontId="103" fillId="32" borderId="31" xfId="0" applyFont="1" applyFill="1" applyBorder="1"/>
    <xf numFmtId="0" fontId="103" fillId="0" borderId="31" xfId="0" applyFont="1" applyBorder="1"/>
    <xf numFmtId="0" fontId="193" fillId="0" borderId="0" xfId="0" applyFont="1"/>
    <xf numFmtId="0" fontId="134" fillId="0" borderId="0" xfId="0" applyFont="1" applyAlignment="1">
      <alignment horizontal="center"/>
    </xf>
    <xf numFmtId="0" fontId="189" fillId="0" borderId="0" xfId="0" applyFont="1"/>
    <xf numFmtId="0" fontId="103" fillId="0" borderId="0" xfId="0" applyFont="1" applyAlignment="1">
      <alignment horizontal="center"/>
    </xf>
    <xf numFmtId="0" fontId="134" fillId="0" borderId="0" xfId="0" applyFont="1" applyAlignment="1">
      <alignment horizontal="left"/>
    </xf>
    <xf numFmtId="0" fontId="145" fillId="0" borderId="0" xfId="0" applyFont="1" applyAlignment="1">
      <alignment horizontal="center"/>
    </xf>
    <xf numFmtId="0" fontId="174" fillId="0" borderId="0" xfId="0" applyFont="1"/>
    <xf numFmtId="0" fontId="103" fillId="0" borderId="0" xfId="0" applyFont="1" applyAlignment="1">
      <alignment horizontal="left" indent="2"/>
    </xf>
    <xf numFmtId="0" fontId="195" fillId="0" borderId="0" xfId="0" applyFont="1" applyAlignment="1">
      <alignment horizontal="center"/>
    </xf>
    <xf numFmtId="14" fontId="195" fillId="0" borderId="0" xfId="0" applyNumberFormat="1" applyFont="1"/>
    <xf numFmtId="0" fontId="185" fillId="0" borderId="0" xfId="0" applyFont="1" applyBorder="1"/>
    <xf numFmtId="0" fontId="165" fillId="32" borderId="0" xfId="0" applyFont="1" applyFill="1"/>
    <xf numFmtId="0" fontId="147" fillId="32" borderId="0" xfId="0" applyFont="1" applyFill="1" applyAlignment="1">
      <alignment horizontal="left"/>
    </xf>
    <xf numFmtId="0" fontId="147" fillId="32" borderId="0" xfId="0" applyFont="1" applyFill="1"/>
    <xf numFmtId="0" fontId="165" fillId="32" borderId="0" xfId="0" applyFont="1" applyFill="1" applyAlignment="1">
      <alignment horizontal="left"/>
    </xf>
    <xf numFmtId="0" fontId="147" fillId="0" borderId="0" xfId="0" applyFont="1"/>
    <xf numFmtId="0" fontId="147" fillId="0" borderId="0" xfId="0" applyFont="1" applyAlignment="1">
      <alignment horizontal="left"/>
    </xf>
    <xf numFmtId="0" fontId="102" fillId="0" borderId="0" xfId="0" applyFont="1" applyFill="1" applyBorder="1" applyAlignment="1">
      <alignment horizontal="center"/>
    </xf>
    <xf numFmtId="0" fontId="182" fillId="0" borderId="0" xfId="0" applyFont="1" applyBorder="1" applyAlignment="1">
      <alignment shrinkToFit="1"/>
    </xf>
    <xf numFmtId="0" fontId="194" fillId="0" borderId="0" xfId="0" applyFont="1"/>
    <xf numFmtId="0" fontId="194" fillId="0" borderId="0" xfId="0" applyFont="1" applyFill="1"/>
    <xf numFmtId="0" fontId="197" fillId="0" borderId="0" xfId="0" applyFont="1" applyBorder="1" applyAlignment="1">
      <alignment shrinkToFit="1"/>
    </xf>
    <xf numFmtId="0" fontId="198" fillId="0" borderId="0" xfId="0" applyFont="1"/>
    <xf numFmtId="0" fontId="198" fillId="0" borderId="0" xfId="0" applyFont="1" applyFill="1"/>
    <xf numFmtId="0" fontId="129" fillId="0" borderId="0" xfId="0" applyFont="1" applyBorder="1" applyAlignment="1">
      <alignment shrinkToFit="1"/>
    </xf>
    <xf numFmtId="0" fontId="134" fillId="0" borderId="0" xfId="0" applyFont="1" applyFill="1"/>
    <xf numFmtId="0" fontId="131" fillId="35" borderId="0" xfId="0" applyFont="1" applyFill="1" applyBorder="1" applyAlignment="1">
      <alignment horizontal="center" vertical="center"/>
    </xf>
    <xf numFmtId="14" fontId="131" fillId="49" borderId="0" xfId="0" applyNumberFormat="1" applyFont="1" applyFill="1" applyBorder="1" applyAlignment="1">
      <alignment horizontal="center" vertical="center"/>
    </xf>
    <xf numFmtId="0" fontId="103" fillId="51" borderId="20" xfId="0" applyFont="1" applyFill="1" applyBorder="1"/>
    <xf numFmtId="0" fontId="103" fillId="35" borderId="22" xfId="0" applyFont="1" applyFill="1" applyBorder="1"/>
    <xf numFmtId="0" fontId="131" fillId="35" borderId="23" xfId="0" applyFont="1" applyFill="1" applyBorder="1"/>
    <xf numFmtId="0" fontId="103" fillId="49" borderId="22" xfId="0" applyFont="1" applyFill="1" applyBorder="1"/>
    <xf numFmtId="0" fontId="131" fillId="49" borderId="23" xfId="0" applyFont="1" applyFill="1" applyBorder="1"/>
    <xf numFmtId="0" fontId="103" fillId="49" borderId="30" xfId="0" applyFont="1" applyFill="1" applyBorder="1"/>
    <xf numFmtId="0" fontId="103" fillId="49" borderId="27" xfId="0" applyFont="1" applyFill="1" applyBorder="1"/>
    <xf numFmtId="0" fontId="103" fillId="49" borderId="42" xfId="0" applyFont="1" applyFill="1" applyBorder="1"/>
    <xf numFmtId="0" fontId="103" fillId="51" borderId="0" xfId="0" applyFont="1" applyFill="1" applyBorder="1" applyAlignment="1">
      <alignment horizontal="center" vertical="center"/>
    </xf>
    <xf numFmtId="0" fontId="103" fillId="51" borderId="22" xfId="0" applyFont="1" applyFill="1" applyBorder="1"/>
    <xf numFmtId="0" fontId="104" fillId="0" borderId="0" xfId="0" applyFont="1" applyAlignment="1">
      <alignment horizontal="left" indent="1"/>
    </xf>
    <xf numFmtId="0" fontId="104" fillId="0" borderId="0" xfId="0" applyFont="1" applyFill="1"/>
    <xf numFmtId="0" fontId="104" fillId="0" borderId="0" xfId="0" applyFont="1" applyAlignment="1">
      <alignment horizontal="right"/>
    </xf>
    <xf numFmtId="0" fontId="129" fillId="0" borderId="0" xfId="0" applyFont="1" applyAlignment="1">
      <alignment horizontal="right"/>
    </xf>
    <xf numFmtId="0" fontId="187" fillId="49" borderId="0" xfId="0" applyFont="1" applyFill="1" applyBorder="1" applyAlignment="1">
      <alignment horizontal="center"/>
    </xf>
    <xf numFmtId="14" fontId="108" fillId="51" borderId="28" xfId="0" applyNumberFormat="1" applyFont="1" applyFill="1" applyBorder="1" applyAlignment="1">
      <alignment horizontal="center"/>
    </xf>
    <xf numFmtId="14" fontId="108" fillId="49" borderId="27" xfId="0" applyNumberFormat="1" applyFont="1" applyFill="1" applyBorder="1" applyAlignment="1">
      <alignment horizontal="center"/>
    </xf>
    <xf numFmtId="0" fontId="103" fillId="35" borderId="14" xfId="0" applyFont="1" applyFill="1" applyBorder="1"/>
    <xf numFmtId="0" fontId="103" fillId="34" borderId="23" xfId="0" applyFont="1" applyFill="1" applyBorder="1"/>
    <xf numFmtId="0" fontId="189" fillId="32" borderId="23" xfId="0" applyFont="1" applyFill="1" applyBorder="1" applyAlignment="1">
      <alignment horizontal="right"/>
    </xf>
    <xf numFmtId="0" fontId="103" fillId="51" borderId="30" xfId="0" applyFont="1" applyFill="1" applyBorder="1"/>
    <xf numFmtId="14" fontId="199" fillId="51" borderId="28" xfId="0" applyNumberFormat="1" applyFont="1" applyFill="1" applyBorder="1" applyAlignment="1">
      <alignment horizontal="center"/>
    </xf>
    <xf numFmtId="0" fontId="103" fillId="34" borderId="0" xfId="0" applyFont="1" applyFill="1" applyBorder="1" applyAlignment="1">
      <alignment horizontal="center"/>
    </xf>
    <xf numFmtId="14" fontId="103" fillId="51" borderId="27" xfId="0" applyNumberFormat="1" applyFont="1" applyFill="1" applyBorder="1"/>
    <xf numFmtId="1" fontId="153" fillId="0" borderId="0" xfId="51" applyNumberFormat="1" applyFont="1"/>
    <xf numFmtId="1" fontId="153" fillId="0" borderId="37" xfId="51" applyNumberFormat="1" applyFont="1" applyBorder="1" applyAlignment="1">
      <alignment horizontal="center"/>
    </xf>
    <xf numFmtId="1" fontId="153" fillId="0" borderId="37" xfId="51" applyNumberFormat="1" applyFont="1" applyBorder="1"/>
    <xf numFmtId="1" fontId="153" fillId="0" borderId="37" xfId="52" applyNumberFormat="1" applyFont="1" applyBorder="1"/>
    <xf numFmtId="1" fontId="153" fillId="0" borderId="40" xfId="51" applyNumberFormat="1" applyFont="1" applyBorder="1"/>
    <xf numFmtId="1" fontId="153" fillId="0" borderId="40" xfId="52" applyNumberFormat="1" applyFont="1" applyBorder="1"/>
    <xf numFmtId="1" fontId="160" fillId="0" borderId="37" xfId="51" applyNumberFormat="1" applyFont="1" applyBorder="1"/>
    <xf numFmtId="1" fontId="153" fillId="0" borderId="33" xfId="51" applyNumberFormat="1" applyFont="1" applyBorder="1" applyAlignment="1">
      <alignment horizontal="center"/>
    </xf>
    <xf numFmtId="1" fontId="153" fillId="0" borderId="33" xfId="51" applyNumberFormat="1" applyFont="1" applyBorder="1"/>
    <xf numFmtId="1" fontId="153" fillId="0" borderId="40" xfId="51" applyNumberFormat="1" applyFont="1" applyBorder="1" applyAlignment="1">
      <alignment horizontal="center"/>
    </xf>
    <xf numFmtId="1" fontId="160" fillId="0" borderId="40" xfId="51" applyNumberFormat="1" applyFont="1" applyBorder="1"/>
    <xf numFmtId="1" fontId="200" fillId="0" borderId="37" xfId="51" applyNumberFormat="1" applyFont="1" applyBorder="1"/>
    <xf numFmtId="1" fontId="153" fillId="53" borderId="33" xfId="51" applyNumberFormat="1" applyFont="1" applyFill="1" applyBorder="1"/>
    <xf numFmtId="1" fontId="200" fillId="0" borderId="40" xfId="51" applyNumberFormat="1" applyFont="1" applyBorder="1"/>
    <xf numFmtId="1" fontId="154" fillId="0" borderId="37" xfId="51" applyNumberFormat="1" applyFont="1" applyBorder="1"/>
    <xf numFmtId="1" fontId="186" fillId="0" borderId="0" xfId="0" applyNumberFormat="1" applyFont="1" applyAlignment="1">
      <alignment horizontal="left" indent="1"/>
    </xf>
    <xf numFmtId="1" fontId="174" fillId="0" borderId="0" xfId="51" applyNumberFormat="1" applyFont="1" applyAlignment="1">
      <alignment horizontal="center"/>
    </xf>
    <xf numFmtId="1" fontId="174" fillId="0" borderId="0" xfId="51" applyNumberFormat="1" applyFont="1"/>
    <xf numFmtId="1" fontId="155" fillId="0" borderId="33" xfId="52" applyNumberFormat="1" applyFont="1" applyBorder="1"/>
    <xf numFmtId="1" fontId="155" fillId="48" borderId="0" xfId="51" applyNumberFormat="1" applyFont="1" applyFill="1" applyAlignment="1">
      <alignment horizontal="center"/>
    </xf>
    <xf numFmtId="1" fontId="153" fillId="0" borderId="0" xfId="51" applyNumberFormat="1" applyFont="1" applyAlignment="1">
      <alignment horizontal="center"/>
    </xf>
    <xf numFmtId="1" fontId="153" fillId="0" borderId="14" xfId="51" applyNumberFormat="1" applyFont="1" applyBorder="1"/>
    <xf numFmtId="1" fontId="159" fillId="0" borderId="0" xfId="51" applyNumberFormat="1" applyFont="1" applyAlignment="1">
      <alignment vertical="top"/>
    </xf>
    <xf numFmtId="1" fontId="176" fillId="0" borderId="0" xfId="51" applyNumberFormat="1" applyFont="1"/>
    <xf numFmtId="1" fontId="156" fillId="0" borderId="0" xfId="51" applyNumberFormat="1" applyFont="1" applyAlignment="1">
      <alignment horizontal="center"/>
    </xf>
    <xf numFmtId="1" fontId="153" fillId="0" borderId="27" xfId="51" applyNumberFormat="1" applyFont="1" applyBorder="1"/>
    <xf numFmtId="1" fontId="138" fillId="0" borderId="0" xfId="0" applyNumberFormat="1" applyFont="1"/>
    <xf numFmtId="1" fontId="138" fillId="0" borderId="0" xfId="52" applyNumberFormat="1" applyFont="1"/>
    <xf numFmtId="1" fontId="138" fillId="0" borderId="0" xfId="0" applyNumberFormat="1" applyFont="1" applyAlignment="1">
      <alignment horizontal="center"/>
    </xf>
    <xf numFmtId="1" fontId="138" fillId="0" borderId="27" xfId="0" applyNumberFormat="1" applyFont="1" applyBorder="1"/>
    <xf numFmtId="1" fontId="138" fillId="0" borderId="27" xfId="52" applyNumberFormat="1" applyFont="1" applyBorder="1"/>
    <xf numFmtId="1" fontId="177" fillId="0" borderId="0" xfId="0" applyNumberFormat="1" applyFont="1" applyBorder="1"/>
    <xf numFmtId="1" fontId="153" fillId="0" borderId="0" xfId="0" applyNumberFormat="1" applyFont="1"/>
    <xf numFmtId="1" fontId="153" fillId="0" borderId="0" xfId="0" applyNumberFormat="1" applyFont="1" applyAlignment="1">
      <alignment horizontal="center"/>
    </xf>
    <xf numFmtId="0" fontId="201" fillId="0" borderId="0" xfId="0" applyFont="1" applyBorder="1"/>
    <xf numFmtId="1" fontId="202" fillId="0" borderId="0" xfId="51" applyNumberFormat="1" applyFont="1" applyAlignment="1">
      <alignment horizontal="center"/>
    </xf>
    <xf numFmtId="1" fontId="158" fillId="0" borderId="0" xfId="52" applyNumberFormat="1" applyFont="1"/>
    <xf numFmtId="1" fontId="196" fillId="0" borderId="0" xfId="0" applyNumberFormat="1" applyFont="1" applyBorder="1"/>
    <xf numFmtId="1" fontId="158" fillId="0" borderId="0" xfId="51" applyNumberFormat="1" applyFont="1" applyAlignment="1">
      <alignment horizontal="center"/>
    </xf>
    <xf numFmtId="0" fontId="203" fillId="0" borderId="0" xfId="0" applyFont="1"/>
    <xf numFmtId="0" fontId="117" fillId="0" borderId="0" xfId="0" applyFont="1" applyBorder="1" applyAlignment="1">
      <alignment horizontal="left" shrinkToFit="1"/>
    </xf>
    <xf numFmtId="0" fontId="117" fillId="0" borderId="27" xfId="0" applyFont="1" applyBorder="1" applyAlignment="1">
      <alignment horizontal="left" shrinkToFit="1"/>
    </xf>
    <xf numFmtId="14" fontId="129" fillId="0" borderId="0" xfId="0" applyNumberFormat="1" applyFont="1" applyBorder="1" applyAlignment="1"/>
    <xf numFmtId="0" fontId="103" fillId="0" borderId="0" xfId="0" applyFont="1" applyAlignment="1">
      <alignment horizontal="center"/>
    </xf>
    <xf numFmtId="0" fontId="204" fillId="0" borderId="0" xfId="0" applyFont="1" applyAlignment="1">
      <alignment horizontal="right"/>
    </xf>
    <xf numFmtId="0" fontId="133" fillId="24" borderId="14" xfId="0" applyFont="1" applyFill="1" applyBorder="1"/>
    <xf numFmtId="9" fontId="138" fillId="0" borderId="0" xfId="0" applyNumberFormat="1" applyFont="1" applyAlignment="1">
      <alignment horizontal="center"/>
    </xf>
    <xf numFmtId="9" fontId="138" fillId="0" borderId="27" xfId="0" applyNumberFormat="1" applyFont="1" applyBorder="1" applyAlignment="1">
      <alignment horizontal="center"/>
    </xf>
    <xf numFmtId="14" fontId="134" fillId="49" borderId="0" xfId="0" applyNumberFormat="1" applyFont="1" applyFill="1" applyBorder="1" applyAlignment="1">
      <alignment horizontal="center" vertical="center"/>
    </xf>
    <xf numFmtId="14" fontId="134" fillId="49" borderId="27" xfId="0" applyNumberFormat="1" applyFont="1" applyFill="1" applyBorder="1" applyAlignment="1">
      <alignment horizontal="center"/>
    </xf>
    <xf numFmtId="0" fontId="205" fillId="49" borderId="0" xfId="0" applyFont="1" applyFill="1" applyBorder="1" applyAlignment="1">
      <alignment horizontal="center"/>
    </xf>
    <xf numFmtId="0" fontId="205" fillId="49" borderId="27" xfId="0" applyFont="1" applyFill="1" applyBorder="1" applyAlignment="1">
      <alignment horizontal="center"/>
    </xf>
    <xf numFmtId="14" fontId="103" fillId="51" borderId="28" xfId="0" applyNumberFormat="1" applyFont="1" applyFill="1" applyBorder="1" applyAlignment="1">
      <alignment horizontal="center"/>
    </xf>
    <xf numFmtId="14" fontId="117" fillId="51" borderId="28" xfId="0" applyNumberFormat="1" applyFont="1" applyFill="1" applyBorder="1" applyAlignment="1">
      <alignment horizontal="center"/>
    </xf>
    <xf numFmtId="0" fontId="206" fillId="0" borderId="0" xfId="0" applyFont="1"/>
    <xf numFmtId="14" fontId="134" fillId="0" borderId="0" xfId="0" applyNumberFormat="1" applyFont="1" applyAlignment="1">
      <alignment horizontal="center"/>
    </xf>
    <xf numFmtId="1" fontId="153" fillId="0" borderId="0" xfId="0" applyNumberFormat="1" applyFont="1" applyAlignment="1">
      <alignment horizontal="left" indent="1"/>
    </xf>
    <xf numFmtId="1" fontId="153" fillId="0" borderId="0" xfId="0" applyNumberFormat="1" applyFont="1" applyAlignment="1">
      <alignment horizontal="right"/>
    </xf>
    <xf numFmtId="1" fontId="158" fillId="0" borderId="12" xfId="51" applyNumberFormat="1" applyFont="1" applyBorder="1" applyAlignment="1">
      <alignment horizontal="right"/>
    </xf>
    <xf numFmtId="1" fontId="158" fillId="0" borderId="12" xfId="51" applyNumberFormat="1" applyFont="1" applyBorder="1"/>
    <xf numFmtId="1" fontId="207" fillId="0" borderId="0" xfId="0" applyNumberFormat="1" applyFont="1"/>
    <xf numFmtId="1" fontId="155" fillId="53" borderId="33" xfId="51" applyNumberFormat="1" applyFont="1" applyFill="1" applyBorder="1"/>
    <xf numFmtId="1" fontId="153" fillId="53" borderId="33" xfId="51" applyNumberFormat="1" applyFont="1" applyFill="1" applyBorder="1" applyAlignment="1">
      <alignment horizontal="center"/>
    </xf>
    <xf numFmtId="1" fontId="153" fillId="33" borderId="33" xfId="51" applyNumberFormat="1" applyFont="1" applyFill="1" applyBorder="1" applyAlignment="1">
      <alignment horizontal="center"/>
    </xf>
    <xf numFmtId="1" fontId="153" fillId="33" borderId="33" xfId="51" applyNumberFormat="1" applyFont="1" applyFill="1" applyBorder="1"/>
    <xf numFmtId="1" fontId="153" fillId="33" borderId="33" xfId="52" applyNumberFormat="1" applyFont="1" applyFill="1" applyBorder="1"/>
    <xf numFmtId="1" fontId="153" fillId="50" borderId="33" xfId="51" applyNumberFormat="1" applyFont="1" applyFill="1" applyBorder="1" applyAlignment="1">
      <alignment horizontal="center"/>
    </xf>
    <xf numFmtId="1" fontId="153" fillId="50" borderId="19" xfId="51" applyNumberFormat="1" applyFont="1" applyFill="1" applyBorder="1"/>
    <xf numFmtId="1" fontId="153" fillId="50" borderId="33" xfId="51" applyNumberFormat="1" applyFont="1" applyFill="1" applyBorder="1"/>
    <xf numFmtId="1" fontId="153" fillId="50" borderId="33" xfId="52" applyNumberFormat="1" applyFont="1" applyFill="1" applyBorder="1"/>
    <xf numFmtId="1" fontId="134" fillId="0" borderId="14" xfId="0" applyNumberFormat="1" applyFont="1" applyBorder="1"/>
    <xf numFmtId="0" fontId="183" fillId="0" borderId="0" xfId="0" applyFont="1" applyBorder="1" applyAlignment="1">
      <alignment horizontal="left" indent="1"/>
    </xf>
    <xf numFmtId="0" fontId="187" fillId="0" borderId="0" xfId="0" applyFont="1" applyBorder="1" applyAlignment="1">
      <alignment horizontal="center"/>
    </xf>
    <xf numFmtId="0" fontId="206" fillId="24" borderId="0" xfId="0" applyFont="1" applyFill="1" applyBorder="1"/>
    <xf numFmtId="0" fontId="206" fillId="24" borderId="14" xfId="0" applyFont="1" applyFill="1" applyBorder="1"/>
    <xf numFmtId="0" fontId="208" fillId="0" borderId="0" xfId="0" applyFont="1" applyBorder="1" applyAlignment="1">
      <alignment horizontal="center"/>
    </xf>
    <xf numFmtId="0" fontId="206" fillId="0" borderId="0" xfId="0" applyFont="1" applyFill="1" applyBorder="1"/>
    <xf numFmtId="0" fontId="206" fillId="0" borderId="11" xfId="0" applyFont="1" applyBorder="1"/>
    <xf numFmtId="0" fontId="103" fillId="33" borderId="0" xfId="0" applyFont="1" applyFill="1" applyBorder="1"/>
    <xf numFmtId="0" fontId="103" fillId="33" borderId="11" xfId="0" applyFont="1" applyFill="1" applyBorder="1"/>
    <xf numFmtId="0" fontId="101" fillId="33" borderId="0" xfId="0" applyFont="1" applyFill="1" applyBorder="1" applyAlignment="1">
      <alignment horizontal="right"/>
    </xf>
    <xf numFmtId="0" fontId="117" fillId="0" borderId="0" xfId="0" applyFont="1" applyFill="1" applyBorder="1"/>
    <xf numFmtId="0" fontId="209" fillId="0" borderId="0" xfId="0" applyFont="1" applyBorder="1" applyAlignment="1">
      <alignment horizontal="center"/>
    </xf>
    <xf numFmtId="0" fontId="205" fillId="0" borderId="0" xfId="0" applyFont="1" applyBorder="1" applyAlignment="1">
      <alignment horizontal="center"/>
    </xf>
    <xf numFmtId="0" fontId="210" fillId="0" borderId="0" xfId="0" applyFont="1" applyBorder="1" applyAlignment="1">
      <alignment horizontal="center"/>
    </xf>
    <xf numFmtId="1" fontId="108" fillId="32" borderId="12" xfId="0" applyNumberFormat="1" applyFont="1" applyFill="1" applyBorder="1"/>
    <xf numFmtId="1" fontId="212" fillId="32" borderId="37" xfId="52" applyNumberFormat="1" applyFont="1" applyFill="1" applyBorder="1"/>
    <xf numFmtId="1" fontId="153" fillId="0" borderId="40" xfId="51" applyNumberFormat="1" applyFont="1" applyBorder="1" applyAlignment="1">
      <alignment horizontal="center" vertical="center"/>
    </xf>
    <xf numFmtId="1" fontId="153" fillId="0" borderId="40" xfId="51" applyNumberFormat="1" applyFont="1" applyBorder="1" applyAlignment="1">
      <alignment vertical="center"/>
    </xf>
    <xf numFmtId="1" fontId="153" fillId="0" borderId="40" xfId="52" applyNumberFormat="1" applyFont="1" applyBorder="1" applyAlignment="1">
      <alignment vertical="center"/>
    </xf>
    <xf numFmtId="1" fontId="153" fillId="0" borderId="37" xfId="51" applyNumberFormat="1" applyFont="1" applyBorder="1" applyAlignment="1">
      <alignment horizontal="center" vertical="center"/>
    </xf>
    <xf numFmtId="1" fontId="105" fillId="0" borderId="37" xfId="51" applyNumberFormat="1" applyFont="1" applyBorder="1" applyAlignment="1">
      <alignment vertical="center" wrapText="1"/>
    </xf>
    <xf numFmtId="1" fontId="153" fillId="0" borderId="37" xfId="52" applyNumberFormat="1" applyFont="1" applyBorder="1" applyAlignment="1">
      <alignment vertical="center"/>
    </xf>
    <xf numFmtId="0" fontId="129" fillId="0" borderId="0" xfId="0" applyFont="1" applyAlignment="1">
      <alignment horizontal="center"/>
    </xf>
    <xf numFmtId="1" fontId="14" fillId="0" borderId="0" xfId="0" applyNumberFormat="1" applyFont="1" applyBorder="1" applyAlignment="1">
      <alignment horizontal="center" vertical="center" wrapText="1"/>
    </xf>
    <xf numFmtId="0" fontId="16" fillId="0" borderId="0" xfId="0" applyFont="1" applyBorder="1" applyAlignment="1">
      <alignment horizontal="center"/>
    </xf>
    <xf numFmtId="0" fontId="16" fillId="0" borderId="14" xfId="0" applyFont="1" applyBorder="1" applyAlignment="1">
      <alignment horizontal="center"/>
    </xf>
    <xf numFmtId="166" fontId="38" fillId="0" borderId="0" xfId="0" applyNumberFormat="1" applyFont="1" applyFill="1" applyBorder="1" applyAlignment="1">
      <alignment horizontal="center" shrinkToFit="1"/>
    </xf>
    <xf numFmtId="15" fontId="42" fillId="24" borderId="0" xfId="0" applyNumberFormat="1" applyFont="1" applyFill="1" applyBorder="1" applyAlignment="1">
      <alignment horizontal="center" shrinkToFit="1"/>
    </xf>
    <xf numFmtId="0" fontId="148" fillId="38" borderId="0" xfId="0" applyFont="1" applyFill="1" applyBorder="1" applyAlignment="1">
      <alignment horizontal="center"/>
    </xf>
    <xf numFmtId="0" fontId="123" fillId="0" borderId="20" xfId="0" applyFont="1" applyBorder="1" applyAlignment="1">
      <alignment horizontal="center"/>
    </xf>
    <xf numFmtId="0" fontId="123" fillId="0" borderId="28" xfId="0" applyFont="1" applyBorder="1" applyAlignment="1">
      <alignment horizontal="center"/>
    </xf>
    <xf numFmtId="0" fontId="123" fillId="0" borderId="41" xfId="0" applyFont="1" applyBorder="1" applyAlignment="1">
      <alignment horizontal="center"/>
    </xf>
    <xf numFmtId="0" fontId="106" fillId="0" borderId="30" xfId="0" applyFont="1" applyBorder="1" applyAlignment="1">
      <alignment horizontal="center"/>
    </xf>
    <xf numFmtId="0" fontId="106" fillId="0" borderId="27" xfId="0" applyFont="1" applyBorder="1" applyAlignment="1">
      <alignment horizontal="center"/>
    </xf>
    <xf numFmtId="0" fontId="106" fillId="0" borderId="42" xfId="0" applyFont="1" applyBorder="1" applyAlignment="1">
      <alignment horizontal="center"/>
    </xf>
    <xf numFmtId="0" fontId="137" fillId="0" borderId="27" xfId="0" applyFont="1" applyBorder="1" applyAlignment="1">
      <alignment horizontal="left" shrinkToFit="1"/>
    </xf>
    <xf numFmtId="0" fontId="117" fillId="0" borderId="0" xfId="0" applyFont="1" applyBorder="1" applyAlignment="1">
      <alignment horizontal="left" shrinkToFit="1"/>
    </xf>
    <xf numFmtId="0" fontId="39" fillId="0" borderId="27" xfId="0" applyFont="1" applyBorder="1" applyAlignment="1">
      <alignment horizontal="left" shrinkToFit="1"/>
    </xf>
    <xf numFmtId="0" fontId="117" fillId="0" borderId="27" xfId="0" applyFont="1" applyBorder="1" applyAlignment="1">
      <alignment horizontal="left" shrinkToFit="1"/>
    </xf>
    <xf numFmtId="0" fontId="157" fillId="0" borderId="0" xfId="0" applyFont="1" applyAlignment="1">
      <alignment horizontal="center" vertical="center"/>
    </xf>
    <xf numFmtId="14" fontId="129" fillId="0" borderId="0" xfId="0" applyNumberFormat="1" applyFont="1" applyBorder="1" applyAlignment="1">
      <alignment horizontal="left"/>
    </xf>
    <xf numFmtId="0" fontId="3" fillId="33" borderId="56" xfId="0" applyFont="1" applyFill="1" applyBorder="1" applyAlignment="1">
      <alignment horizontal="center"/>
    </xf>
    <xf numFmtId="0" fontId="103" fillId="34" borderId="0" xfId="0" applyFont="1" applyFill="1" applyAlignment="1">
      <alignment horizontal="center"/>
    </xf>
    <xf numFmtId="0" fontId="108" fillId="37" borderId="0" xfId="0" applyFont="1" applyFill="1" applyAlignment="1">
      <alignment horizontal="center"/>
    </xf>
    <xf numFmtId="0" fontId="103" fillId="36" borderId="0" xfId="0" applyFont="1" applyFill="1" applyAlignment="1">
      <alignment horizontal="center"/>
    </xf>
    <xf numFmtId="0" fontId="173" fillId="0" borderId="20" xfId="0" applyFont="1" applyBorder="1" applyAlignment="1">
      <alignment horizontal="center"/>
    </xf>
    <xf numFmtId="0" fontId="173" fillId="0" borderId="28" xfId="0" applyFont="1" applyBorder="1" applyAlignment="1">
      <alignment horizontal="center"/>
    </xf>
    <xf numFmtId="0" fontId="173" fillId="0" borderId="41" xfId="0" applyFont="1" applyBorder="1" applyAlignment="1">
      <alignment horizontal="center"/>
    </xf>
    <xf numFmtId="0" fontId="129" fillId="0" borderId="30" xfId="0" applyFont="1" applyBorder="1" applyAlignment="1">
      <alignment horizontal="center" shrinkToFit="1"/>
    </xf>
    <xf numFmtId="0" fontId="129" fillId="0" borderId="27" xfId="0" applyFont="1" applyBorder="1" applyAlignment="1">
      <alignment horizontal="center" shrinkToFit="1"/>
    </xf>
    <xf numFmtId="0" fontId="129" fillId="0" borderId="42" xfId="0" applyFont="1" applyBorder="1" applyAlignment="1">
      <alignment horizontal="center" shrinkToFit="1"/>
    </xf>
    <xf numFmtId="0" fontId="168" fillId="0" borderId="20" xfId="0" applyFont="1" applyBorder="1" applyAlignment="1">
      <alignment horizontal="center"/>
    </xf>
    <xf numFmtId="0" fontId="168" fillId="0" borderId="28" xfId="0" applyFont="1" applyBorder="1" applyAlignment="1">
      <alignment horizontal="center"/>
    </xf>
    <xf numFmtId="0" fontId="168" fillId="0" borderId="41" xfId="0" applyFont="1" applyBorder="1" applyAlignment="1">
      <alignment horizontal="center"/>
    </xf>
    <xf numFmtId="0" fontId="107" fillId="0" borderId="0" xfId="0" applyFont="1" applyFill="1" applyBorder="1" applyAlignment="1">
      <alignment horizontal="left"/>
    </xf>
    <xf numFmtId="14" fontId="129" fillId="0" borderId="0" xfId="0" applyNumberFormat="1" applyFont="1" applyBorder="1" applyAlignment="1"/>
    <xf numFmtId="0" fontId="103" fillId="37" borderId="0" xfId="0" applyFont="1" applyFill="1" applyAlignment="1">
      <alignment horizontal="center"/>
    </xf>
    <xf numFmtId="0" fontId="103" fillId="0" borderId="0" xfId="0" applyFont="1" applyAlignment="1">
      <alignment horizontal="center"/>
    </xf>
    <xf numFmtId="14" fontId="14" fillId="0" borderId="0" xfId="0" applyNumberFormat="1" applyFont="1" applyBorder="1" applyAlignment="1"/>
    <xf numFmtId="9" fontId="138" fillId="0" borderId="0" xfId="0" applyNumberFormat="1" applyFont="1" applyAlignment="1">
      <alignment horizontal="center" vertical="center"/>
    </xf>
    <xf numFmtId="1" fontId="138" fillId="33" borderId="56" xfId="0" applyNumberFormat="1" applyFont="1" applyFill="1" applyBorder="1" applyAlignment="1">
      <alignment horizontal="center"/>
    </xf>
    <xf numFmtId="1" fontId="155" fillId="47" borderId="0" xfId="51" applyNumberFormat="1" applyFont="1" applyFill="1" applyAlignment="1">
      <alignment horizontal="center"/>
    </xf>
    <xf numFmtId="1" fontId="155" fillId="46" borderId="0" xfId="51" applyNumberFormat="1" applyFont="1" applyFill="1" applyAlignment="1">
      <alignment horizontal="center"/>
    </xf>
    <xf numFmtId="1" fontId="155" fillId="34" borderId="0" xfId="51" applyNumberFormat="1" applyFont="1" applyFill="1" applyAlignment="1">
      <alignment horizontal="center"/>
    </xf>
    <xf numFmtId="0" fontId="190" fillId="0" borderId="20" xfId="0" applyFont="1" applyBorder="1" applyAlignment="1">
      <alignment horizontal="center"/>
    </xf>
    <xf numFmtId="0" fontId="190" fillId="0" borderId="28" xfId="0" applyFont="1" applyBorder="1" applyAlignment="1">
      <alignment horizontal="center"/>
    </xf>
    <xf numFmtId="0" fontId="190" fillId="0" borderId="41" xfId="0" applyFont="1" applyBorder="1" applyAlignment="1">
      <alignment horizontal="center"/>
    </xf>
    <xf numFmtId="0" fontId="170" fillId="32" borderId="0" xfId="0" applyFont="1" applyFill="1" applyBorder="1" applyAlignment="1">
      <alignment horizontal="center"/>
    </xf>
    <xf numFmtId="0" fontId="132" fillId="0" borderId="0" xfId="0" applyFont="1" applyAlignment="1">
      <alignment horizontal="left" wrapText="1"/>
    </xf>
    <xf numFmtId="0" fontId="133" fillId="0" borderId="0" xfId="0" applyFont="1" applyAlignment="1">
      <alignment horizontal="left" wrapText="1"/>
    </xf>
    <xf numFmtId="0" fontId="132" fillId="0" borderId="0" xfId="0" applyFont="1" applyAlignment="1">
      <alignment horizontal="left" wrapText="1" indent="1"/>
    </xf>
    <xf numFmtId="0" fontId="130" fillId="32" borderId="0" xfId="0" applyFont="1" applyFill="1" applyAlignment="1">
      <alignment horizontal="left"/>
    </xf>
    <xf numFmtId="0" fontId="5" fillId="0" borderId="0" xfId="0" applyFont="1" applyAlignment="1">
      <alignment horizontal="center"/>
    </xf>
    <xf numFmtId="0" fontId="17" fillId="0" borderId="0" xfId="0" applyFont="1" applyBorder="1" applyAlignment="1">
      <alignment horizontal="left"/>
    </xf>
    <xf numFmtId="0" fontId="40" fillId="0" borderId="0" xfId="0" applyFont="1" applyBorder="1" applyAlignment="1">
      <alignment horizontal="center"/>
    </xf>
    <xf numFmtId="0" fontId="32" fillId="0" borderId="14" xfId="0" applyFont="1" applyBorder="1" applyAlignment="1">
      <alignment horizontal="center"/>
    </xf>
    <xf numFmtId="0" fontId="72" fillId="0" borderId="31" xfId="39" applyFont="1" applyBorder="1" applyAlignment="1">
      <alignment horizontal="right"/>
    </xf>
    <xf numFmtId="0" fontId="73" fillId="0" borderId="31" xfId="39" applyFont="1" applyBorder="1" applyAlignment="1">
      <alignment horizontal="right"/>
    </xf>
    <xf numFmtId="1" fontId="73" fillId="0" borderId="31" xfId="39" applyNumberFormat="1" applyFont="1" applyBorder="1" applyAlignment="1">
      <alignment horizontal="right"/>
    </xf>
    <xf numFmtId="0" fontId="73" fillId="0" borderId="14" xfId="39" applyFont="1" applyBorder="1" applyAlignment="1">
      <alignment horizontal="right"/>
    </xf>
    <xf numFmtId="0" fontId="72" fillId="0" borderId="32" xfId="39" applyFont="1" applyBorder="1" applyAlignment="1">
      <alignment horizontal="center"/>
    </xf>
    <xf numFmtId="0" fontId="72" fillId="0" borderId="16" xfId="39" applyFont="1" applyBorder="1" applyAlignment="1">
      <alignment horizontal="center"/>
    </xf>
    <xf numFmtId="0" fontId="72" fillId="0" borderId="35" xfId="39" applyFont="1" applyBorder="1" applyAlignment="1">
      <alignment horizontal="center"/>
    </xf>
    <xf numFmtId="0" fontId="72" fillId="0" borderId="15" xfId="39" applyFont="1" applyBorder="1" applyAlignment="1">
      <alignment horizontal="center"/>
    </xf>
    <xf numFmtId="0" fontId="72" fillId="0" borderId="0" xfId="39" applyFont="1" applyBorder="1" applyAlignment="1">
      <alignment horizontal="center"/>
    </xf>
    <xf numFmtId="0" fontId="72" fillId="0" borderId="10" xfId="39" applyFont="1" applyBorder="1" applyAlignment="1">
      <alignment horizontal="center"/>
    </xf>
    <xf numFmtId="0" fontId="72" fillId="0" borderId="18" xfId="39" applyFont="1" applyBorder="1" applyAlignment="1">
      <alignment horizontal="center"/>
    </xf>
    <xf numFmtId="0" fontId="72" fillId="0" borderId="14" xfId="39" applyFont="1" applyBorder="1" applyAlignment="1">
      <alignment horizontal="center"/>
    </xf>
    <xf numFmtId="0" fontId="72" fillId="0" borderId="11" xfId="39" applyFont="1" applyBorder="1" applyAlignment="1">
      <alignment horizontal="center"/>
    </xf>
    <xf numFmtId="2" fontId="77" fillId="0" borderId="0" xfId="39" applyNumberFormat="1" applyFont="1" applyBorder="1" applyAlignment="1">
      <alignment horizontal="center"/>
    </xf>
    <xf numFmtId="0" fontId="17" fillId="0" borderId="38" xfId="40" applyNumberFormat="1" applyFont="1" applyFill="1" applyBorder="1" applyAlignment="1" applyProtection="1">
      <alignment horizontal="center" vertical="center"/>
    </xf>
    <xf numFmtId="0" fontId="17" fillId="0" borderId="31" xfId="40" applyNumberFormat="1" applyFont="1" applyFill="1" applyBorder="1" applyAlignment="1" applyProtection="1">
      <alignment horizontal="center" vertical="center"/>
    </xf>
    <xf numFmtId="0" fontId="73" fillId="0" borderId="35" xfId="39" applyFont="1" applyBorder="1" applyAlignment="1">
      <alignment horizontal="left" vertical="center"/>
    </xf>
    <xf numFmtId="0" fontId="73" fillId="0" borderId="11" xfId="39" applyFont="1" applyBorder="1" applyAlignment="1">
      <alignment horizontal="left" vertical="center"/>
    </xf>
    <xf numFmtId="0" fontId="72" fillId="0" borderId="32" xfId="39" applyFont="1" applyBorder="1" applyAlignment="1">
      <alignment horizontal="right"/>
    </xf>
    <xf numFmtId="0" fontId="72" fillId="0" borderId="16" xfId="39" applyFont="1" applyBorder="1" applyAlignment="1">
      <alignment horizontal="right"/>
    </xf>
    <xf numFmtId="0" fontId="72" fillId="0" borderId="18" xfId="39" applyFont="1" applyBorder="1" applyAlignment="1">
      <alignment horizontal="right"/>
    </xf>
    <xf numFmtId="0" fontId="72" fillId="0" borderId="14" xfId="39" applyFont="1" applyBorder="1" applyAlignment="1">
      <alignment horizontal="right"/>
    </xf>
    <xf numFmtId="0" fontId="14" fillId="0" borderId="38" xfId="40" applyNumberFormat="1" applyFont="1" applyFill="1" applyBorder="1" applyAlignment="1" applyProtection="1">
      <alignment horizontal="left" vertical="top" wrapText="1"/>
    </xf>
    <xf numFmtId="0" fontId="14" fillId="0" borderId="31" xfId="40" applyNumberFormat="1" applyFont="1" applyFill="1" applyBorder="1" applyAlignment="1" applyProtection="1">
      <alignment horizontal="left" vertical="top" wrapText="1"/>
    </xf>
    <xf numFmtId="0" fontId="17" fillId="0" borderId="38" xfId="40" applyNumberFormat="1" applyFont="1" applyFill="1" applyBorder="1" applyAlignment="1" applyProtection="1">
      <alignment horizontal="left" vertical="top" wrapText="1"/>
    </xf>
    <xf numFmtId="0" fontId="17" fillId="0" borderId="31" xfId="40" applyNumberFormat="1" applyFont="1" applyFill="1" applyBorder="1" applyAlignment="1" applyProtection="1">
      <alignment horizontal="left" vertical="top" wrapText="1"/>
    </xf>
    <xf numFmtId="0" fontId="17" fillId="0" borderId="35" xfId="39" applyFont="1" applyFill="1" applyBorder="1" applyAlignment="1">
      <alignment horizontal="center" vertical="center" textRotation="90"/>
    </xf>
    <xf numFmtId="0" fontId="17" fillId="0" borderId="10" xfId="39" applyFont="1" applyFill="1" applyBorder="1" applyAlignment="1">
      <alignment horizontal="center" vertical="center" textRotation="90"/>
    </xf>
    <xf numFmtId="0" fontId="17" fillId="0" borderId="11" xfId="39" applyFont="1" applyFill="1" applyBorder="1" applyAlignment="1">
      <alignment horizontal="center" vertical="center" textRotation="90"/>
    </xf>
    <xf numFmtId="0" fontId="17" fillId="0" borderId="36" xfId="39" applyFont="1" applyFill="1" applyBorder="1" applyAlignment="1">
      <alignment horizontal="center" vertical="center"/>
    </xf>
    <xf numFmtId="0" fontId="17" fillId="0" borderId="39" xfId="39" applyFont="1" applyFill="1" applyBorder="1" applyAlignment="1">
      <alignment horizontal="center" vertical="center"/>
    </xf>
    <xf numFmtId="0" fontId="17" fillId="0" borderId="40" xfId="39" applyFont="1" applyFill="1" applyBorder="1" applyAlignment="1">
      <alignment horizontal="center" vertical="center"/>
    </xf>
    <xf numFmtId="0" fontId="82" fillId="0" borderId="32" xfId="41" applyNumberFormat="1" applyFont="1" applyFill="1" applyBorder="1" applyAlignment="1" applyProtection="1">
      <alignment horizontal="center" vertical="top"/>
    </xf>
    <xf numFmtId="0" fontId="82" fillId="0" borderId="16" xfId="41" applyNumberFormat="1" applyFont="1" applyFill="1" applyBorder="1" applyAlignment="1" applyProtection="1">
      <alignment horizontal="center" vertical="top"/>
    </xf>
    <xf numFmtId="0" fontId="82" fillId="0" borderId="35" xfId="41" applyNumberFormat="1" applyFont="1" applyFill="1" applyBorder="1" applyAlignment="1" applyProtection="1">
      <alignment horizontal="center" vertical="top"/>
    </xf>
    <xf numFmtId="0" fontId="82" fillId="0" borderId="15" xfId="41" applyNumberFormat="1" applyFont="1" applyFill="1" applyBorder="1" applyAlignment="1" applyProtection="1">
      <alignment horizontal="center" vertical="top"/>
    </xf>
    <xf numFmtId="0" fontId="82" fillId="0" borderId="0" xfId="41" applyNumberFormat="1" applyFont="1" applyFill="1" applyBorder="1" applyAlignment="1" applyProtection="1">
      <alignment horizontal="center" vertical="top"/>
    </xf>
    <xf numFmtId="0" fontId="82" fillId="0" borderId="10" xfId="41" applyNumberFormat="1" applyFont="1" applyFill="1" applyBorder="1" applyAlignment="1" applyProtection="1">
      <alignment horizontal="center" vertical="top"/>
    </xf>
    <xf numFmtId="0" fontId="82" fillId="0" borderId="18" xfId="41" applyNumberFormat="1" applyFont="1" applyFill="1" applyBorder="1" applyAlignment="1" applyProtection="1">
      <alignment horizontal="center" vertical="top"/>
    </xf>
    <xf numFmtId="0" fontId="82" fillId="0" borderId="14" xfId="41" applyNumberFormat="1" applyFont="1" applyFill="1" applyBorder="1" applyAlignment="1" applyProtection="1">
      <alignment horizontal="center" vertical="top"/>
    </xf>
    <xf numFmtId="0" fontId="82" fillId="0" borderId="11" xfId="41" applyNumberFormat="1" applyFont="1" applyFill="1" applyBorder="1" applyAlignment="1" applyProtection="1">
      <alignment horizontal="center" vertical="top"/>
    </xf>
    <xf numFmtId="0" fontId="17" fillId="0" borderId="38" xfId="40" applyNumberFormat="1" applyFont="1" applyFill="1" applyBorder="1" applyAlignment="1" applyProtection="1">
      <alignment horizontal="left" vertical="top"/>
    </xf>
    <xf numFmtId="0" fontId="17" fillId="0" borderId="31" xfId="40" applyNumberFormat="1" applyFont="1" applyFill="1" applyBorder="1" applyAlignment="1" applyProtection="1">
      <alignment horizontal="left" vertical="top"/>
    </xf>
    <xf numFmtId="0" fontId="17" fillId="0" borderId="17" xfId="40" applyNumberFormat="1" applyFont="1" applyFill="1" applyBorder="1" applyAlignment="1" applyProtection="1">
      <alignment horizontal="left" vertical="top"/>
    </xf>
    <xf numFmtId="0" fontId="73" fillId="24" borderId="31" xfId="39" applyFont="1" applyFill="1" applyBorder="1" applyAlignment="1">
      <alignment horizontal="right"/>
    </xf>
    <xf numFmtId="0" fontId="72" fillId="0" borderId="38" xfId="39" applyFont="1" applyBorder="1" applyAlignment="1">
      <alignment horizontal="center"/>
    </xf>
    <xf numFmtId="0" fontId="72" fillId="0" borderId="17" xfId="39" applyFont="1" applyBorder="1" applyAlignment="1">
      <alignment horizontal="center"/>
    </xf>
    <xf numFmtId="0" fontId="72" fillId="0" borderId="31" xfId="39" applyFont="1" applyBorder="1" applyAlignment="1">
      <alignment horizontal="center"/>
    </xf>
    <xf numFmtId="0" fontId="73" fillId="0" borderId="38" xfId="39" applyFont="1" applyBorder="1" applyAlignment="1">
      <alignment horizontal="center"/>
    </xf>
    <xf numFmtId="0" fontId="73" fillId="0" borderId="17" xfId="39" applyFont="1" applyBorder="1" applyAlignment="1">
      <alignment horizontal="center"/>
    </xf>
    <xf numFmtId="0" fontId="73" fillId="0" borderId="31" xfId="39" applyFont="1" applyBorder="1" applyAlignment="1">
      <alignment horizontal="center"/>
    </xf>
    <xf numFmtId="0" fontId="73" fillId="0" borderId="32" xfId="39" applyFont="1" applyBorder="1" applyAlignment="1">
      <alignment horizontal="center"/>
    </xf>
    <xf numFmtId="0" fontId="73" fillId="0" borderId="16" xfId="39" applyFont="1" applyBorder="1" applyAlignment="1">
      <alignment horizontal="center"/>
    </xf>
    <xf numFmtId="0" fontId="73" fillId="0" borderId="35" xfId="39" applyFont="1" applyBorder="1" applyAlignment="1">
      <alignment horizontal="center"/>
    </xf>
    <xf numFmtId="0" fontId="14" fillId="0" borderId="38" xfId="40" applyNumberFormat="1" applyFont="1" applyFill="1" applyBorder="1" applyAlignment="1" applyProtection="1">
      <alignment horizontal="center" vertical="top" wrapText="1"/>
    </xf>
    <xf numFmtId="0" fontId="14" fillId="0" borderId="31" xfId="40" applyNumberFormat="1" applyFont="1" applyFill="1" applyBorder="1" applyAlignment="1" applyProtection="1">
      <alignment horizontal="center" vertical="top" wrapText="1"/>
    </xf>
    <xf numFmtId="0" fontId="72" fillId="0" borderId="35" xfId="39" applyFont="1" applyBorder="1" applyAlignment="1">
      <alignment horizontal="center" vertical="center" textRotation="90" shrinkToFit="1"/>
    </xf>
    <xf numFmtId="0" fontId="72" fillId="0" borderId="10" xfId="39" applyFont="1" applyBorder="1" applyAlignment="1">
      <alignment horizontal="center" vertical="center" textRotation="90" shrinkToFit="1"/>
    </xf>
    <xf numFmtId="0" fontId="72" fillId="0" borderId="11" xfId="39" applyFont="1" applyBorder="1" applyAlignment="1">
      <alignment horizontal="center" vertical="center" textRotation="90" shrinkToFit="1"/>
    </xf>
    <xf numFmtId="0" fontId="72" fillId="0" borderId="36" xfId="39" applyFont="1" applyBorder="1" applyAlignment="1">
      <alignment horizontal="center"/>
    </xf>
    <xf numFmtId="0" fontId="72" fillId="0" borderId="39" xfId="39" applyFont="1" applyBorder="1" applyAlignment="1">
      <alignment horizontal="center"/>
    </xf>
    <xf numFmtId="0" fontId="72" fillId="0" borderId="40" xfId="39" applyFont="1" applyBorder="1" applyAlignment="1">
      <alignment horizontal="center"/>
    </xf>
    <xf numFmtId="0" fontId="17" fillId="0" borderId="36" xfId="40" applyNumberFormat="1" applyFont="1" applyFill="1" applyBorder="1" applyAlignment="1" applyProtection="1">
      <alignment horizontal="center" vertical="top"/>
    </xf>
    <xf numFmtId="0" fontId="17" fillId="0" borderId="39" xfId="40" applyNumberFormat="1" applyFont="1" applyFill="1" applyBorder="1" applyAlignment="1" applyProtection="1">
      <alignment horizontal="center" vertical="top"/>
    </xf>
    <xf numFmtId="0" fontId="17" fillId="0" borderId="40" xfId="40" applyNumberFormat="1" applyFont="1" applyFill="1" applyBorder="1" applyAlignment="1" applyProtection="1">
      <alignment horizontal="center" vertical="top"/>
    </xf>
    <xf numFmtId="0" fontId="17" fillId="0" borderId="38" xfId="39" applyFont="1" applyFill="1" applyBorder="1" applyAlignment="1">
      <alignment horizontal="center" vertical="center"/>
    </xf>
    <xf numFmtId="0" fontId="17" fillId="0" borderId="31" xfId="39" applyFont="1" applyFill="1" applyBorder="1" applyAlignment="1">
      <alignment horizontal="center" vertical="center"/>
    </xf>
    <xf numFmtId="0" fontId="14" fillId="0" borderId="17" xfId="40" applyNumberFormat="1" applyFont="1" applyFill="1" applyBorder="1" applyAlignment="1" applyProtection="1">
      <alignment horizontal="left" vertical="top" wrapText="1"/>
    </xf>
    <xf numFmtId="0" fontId="17" fillId="0" borderId="38" xfId="39" applyFont="1" applyFill="1" applyBorder="1" applyAlignment="1">
      <alignment horizontal="left" vertical="center"/>
    </xf>
    <xf numFmtId="0" fontId="17" fillId="0" borderId="31" xfId="39" applyFont="1" applyFill="1" applyBorder="1" applyAlignment="1">
      <alignment horizontal="left" vertical="center"/>
    </xf>
    <xf numFmtId="0" fontId="17" fillId="0" borderId="17" xfId="39" applyFont="1" applyFill="1" applyBorder="1" applyAlignment="1">
      <alignment horizontal="left" vertical="center"/>
    </xf>
    <xf numFmtId="0" fontId="17" fillId="0" borderId="35" xfId="40" applyNumberFormat="1" applyFont="1" applyFill="1" applyBorder="1" applyAlignment="1" applyProtection="1">
      <alignment horizontal="center" vertical="top"/>
    </xf>
    <xf numFmtId="0" fontId="17" fillId="0" borderId="10" xfId="40" applyNumberFormat="1" applyFont="1" applyFill="1" applyBorder="1" applyAlignment="1" applyProtection="1">
      <alignment horizontal="center" vertical="top"/>
    </xf>
    <xf numFmtId="0" fontId="17" fillId="0" borderId="11" xfId="40" applyNumberFormat="1" applyFont="1" applyFill="1" applyBorder="1" applyAlignment="1" applyProtection="1">
      <alignment horizontal="center" vertical="top"/>
    </xf>
    <xf numFmtId="0" fontId="72" fillId="0" borderId="32" xfId="39" applyFont="1" applyBorder="1" applyAlignment="1">
      <alignment horizontal="center" vertical="center"/>
    </xf>
    <xf numFmtId="0" fontId="72" fillId="0" borderId="18" xfId="39" applyFont="1" applyBorder="1" applyAlignment="1">
      <alignment horizontal="center" vertical="center"/>
    </xf>
    <xf numFmtId="0" fontId="73" fillId="0" borderId="16" xfId="39" applyFont="1" applyBorder="1" applyAlignment="1">
      <alignment horizontal="right"/>
    </xf>
    <xf numFmtId="0" fontId="79" fillId="26" borderId="22" xfId="39" applyFont="1" applyFill="1" applyBorder="1" applyAlignment="1">
      <alignment horizontal="left" vertical="center"/>
    </xf>
    <xf numFmtId="0" fontId="79" fillId="26" borderId="0" xfId="39" applyFont="1" applyFill="1" applyBorder="1" applyAlignment="1">
      <alignment horizontal="left" vertical="center"/>
    </xf>
    <xf numFmtId="0" fontId="72" fillId="0" borderId="32" xfId="39" applyFont="1" applyBorder="1" applyAlignment="1">
      <alignment horizontal="left" vertical="center"/>
    </xf>
    <xf numFmtId="0" fontId="72" fillId="0" borderId="16" xfId="39" applyFont="1" applyBorder="1" applyAlignment="1">
      <alignment horizontal="left" vertical="center"/>
    </xf>
    <xf numFmtId="0" fontId="72" fillId="0" borderId="35" xfId="39" applyFont="1" applyBorder="1" applyAlignment="1">
      <alignment horizontal="left" vertical="center"/>
    </xf>
    <xf numFmtId="0" fontId="72" fillId="0" borderId="18" xfId="39" applyFont="1" applyBorder="1" applyAlignment="1">
      <alignment horizontal="left" vertical="center"/>
    </xf>
    <xf numFmtId="0" fontId="72" fillId="0" borderId="14" xfId="39" applyFont="1" applyBorder="1" applyAlignment="1">
      <alignment horizontal="left" vertical="center"/>
    </xf>
    <xf numFmtId="0" fontId="72" fillId="0" borderId="11" xfId="39" applyFont="1" applyBorder="1" applyAlignment="1">
      <alignment horizontal="left" vertical="center"/>
    </xf>
    <xf numFmtId="0" fontId="17" fillId="0" borderId="15" xfId="40" applyNumberFormat="1" applyFont="1" applyFill="1" applyBorder="1" applyAlignment="1" applyProtection="1">
      <alignment horizontal="justify" vertical="top"/>
    </xf>
    <xf numFmtId="0" fontId="17" fillId="0" borderId="0" xfId="40" applyNumberFormat="1" applyFont="1" applyFill="1" applyBorder="1" applyAlignment="1" applyProtection="1">
      <alignment horizontal="justify" vertical="top"/>
    </xf>
    <xf numFmtId="0" fontId="72" fillId="0" borderId="36" xfId="39" applyFont="1" applyBorder="1" applyAlignment="1">
      <alignment horizontal="center" vertical="center"/>
    </xf>
    <xf numFmtId="0" fontId="72" fillId="0" borderId="40" xfId="39" applyFont="1" applyBorder="1" applyAlignment="1">
      <alignment horizontal="center" vertical="center"/>
    </xf>
    <xf numFmtId="0" fontId="17" fillId="0" borderId="0" xfId="40" applyNumberFormat="1" applyFont="1" applyFill="1" applyBorder="1" applyAlignment="1" applyProtection="1">
      <alignment horizontal="left" vertical="top"/>
    </xf>
    <xf numFmtId="0" fontId="17" fillId="0" borderId="35" xfId="39" applyFont="1" applyFill="1" applyBorder="1" applyAlignment="1">
      <alignment horizontal="center" vertical="center"/>
    </xf>
    <xf numFmtId="0" fontId="17" fillId="0" borderId="10" xfId="39" applyFont="1" applyFill="1" applyBorder="1" applyAlignment="1">
      <alignment horizontal="center" vertical="center"/>
    </xf>
    <xf numFmtId="0" fontId="17" fillId="0" borderId="11" xfId="39" applyFont="1" applyFill="1" applyBorder="1" applyAlignment="1">
      <alignment horizontal="center" vertical="center"/>
    </xf>
    <xf numFmtId="0" fontId="73" fillId="0" borderId="0" xfId="39" applyFont="1" applyBorder="1" applyAlignment="1">
      <alignment horizontal="right"/>
    </xf>
    <xf numFmtId="0" fontId="17" fillId="0" borderId="32" xfId="40" applyNumberFormat="1" applyFont="1" applyFill="1" applyBorder="1" applyAlignment="1" applyProtection="1">
      <alignment horizontal="center" vertical="top"/>
    </xf>
    <xf numFmtId="0" fontId="17" fillId="0" borderId="16" xfId="40" applyNumberFormat="1" applyFont="1" applyFill="1" applyBorder="1" applyAlignment="1" applyProtection="1">
      <alignment horizontal="center" vertical="top"/>
    </xf>
    <xf numFmtId="0" fontId="17" fillId="0" borderId="15" xfId="40" applyNumberFormat="1" applyFont="1" applyFill="1" applyBorder="1" applyAlignment="1" applyProtection="1">
      <alignment horizontal="center" vertical="top"/>
    </xf>
    <xf numFmtId="0" fontId="17" fillId="0" borderId="0" xfId="40" applyNumberFormat="1" applyFont="1" applyFill="1" applyBorder="1" applyAlignment="1" applyProtection="1">
      <alignment horizontal="center" vertical="top"/>
    </xf>
    <xf numFmtId="0" fontId="17" fillId="0" borderId="18" xfId="40" applyNumberFormat="1" applyFont="1" applyFill="1" applyBorder="1" applyAlignment="1" applyProtection="1">
      <alignment horizontal="center" vertical="top"/>
    </xf>
    <xf numFmtId="0" fontId="17" fillId="0" borderId="14" xfId="40" applyNumberFormat="1" applyFont="1" applyFill="1" applyBorder="1" applyAlignment="1" applyProtection="1">
      <alignment horizontal="center" vertical="top"/>
    </xf>
    <xf numFmtId="0" fontId="13" fillId="0" borderId="39" xfId="40" applyNumberFormat="1" applyFont="1" applyFill="1" applyBorder="1" applyAlignment="1" applyProtection="1">
      <alignment horizontal="center" vertical="center" wrapText="1"/>
    </xf>
    <xf numFmtId="0" fontId="13" fillId="0" borderId="40" xfId="40" applyNumberFormat="1" applyFont="1" applyFill="1" applyBorder="1" applyAlignment="1" applyProtection="1">
      <alignment horizontal="center" vertical="center" wrapText="1"/>
    </xf>
    <xf numFmtId="0" fontId="17" fillId="0" borderId="10" xfId="40" applyNumberFormat="1" applyFont="1" applyFill="1" applyBorder="1" applyAlignment="1" applyProtection="1">
      <alignment horizontal="center" vertical="center" wrapText="1"/>
    </xf>
    <xf numFmtId="0" fontId="17" fillId="0" borderId="11" xfId="40" applyNumberFormat="1" applyFont="1" applyFill="1" applyBorder="1" applyAlignment="1" applyProtection="1">
      <alignment horizontal="center" vertical="center" wrapText="1"/>
    </xf>
    <xf numFmtId="0" fontId="17" fillId="0" borderId="38" xfId="40" applyNumberFormat="1" applyFont="1" applyFill="1" applyBorder="1" applyAlignment="1" applyProtection="1">
      <alignment horizontal="left" vertical="center" wrapText="1"/>
    </xf>
    <xf numFmtId="0" fontId="17" fillId="0" borderId="31" xfId="40" applyNumberFormat="1" applyFont="1" applyFill="1" applyBorder="1" applyAlignment="1" applyProtection="1">
      <alignment horizontal="left" vertical="center" wrapText="1"/>
    </xf>
    <xf numFmtId="0" fontId="73" fillId="25" borderId="31" xfId="39" applyFont="1" applyFill="1" applyBorder="1" applyAlignment="1">
      <alignment horizontal="right"/>
    </xf>
    <xf numFmtId="0" fontId="73" fillId="0" borderId="31" xfId="39" applyFont="1" applyFill="1" applyBorder="1" applyAlignment="1">
      <alignment horizontal="right"/>
    </xf>
    <xf numFmtId="1" fontId="18" fillId="0" borderId="16" xfId="0" applyNumberFormat="1" applyFont="1" applyBorder="1" applyAlignment="1">
      <alignment horizontal="center" vertical="center"/>
    </xf>
    <xf numFmtId="1" fontId="18" fillId="0" borderId="14" xfId="0" applyNumberFormat="1" applyFont="1" applyBorder="1" applyAlignment="1">
      <alignment horizontal="center" vertical="center"/>
    </xf>
    <xf numFmtId="0" fontId="17" fillId="0" borderId="36" xfId="40" applyNumberFormat="1" applyFont="1" applyFill="1" applyBorder="1" applyAlignment="1" applyProtection="1">
      <alignment horizontal="center" vertical="center"/>
    </xf>
    <xf numFmtId="0" fontId="17" fillId="0" borderId="40" xfId="40" applyNumberFormat="1" applyFont="1" applyFill="1" applyBorder="1" applyAlignment="1" applyProtection="1">
      <alignment horizontal="center" vertical="center"/>
    </xf>
    <xf numFmtId="0" fontId="72" fillId="0" borderId="16" xfId="39" applyFont="1" applyBorder="1" applyAlignment="1">
      <alignment horizontal="center" vertical="center"/>
    </xf>
    <xf numFmtId="0" fontId="72" fillId="0" borderId="14" xfId="39" applyFont="1" applyBorder="1" applyAlignment="1">
      <alignment horizontal="center" vertical="center"/>
    </xf>
    <xf numFmtId="0" fontId="73" fillId="0" borderId="35" xfId="39" applyFont="1" applyBorder="1" applyAlignment="1">
      <alignment horizontal="right"/>
    </xf>
    <xf numFmtId="0" fontId="73" fillId="0" borderId="11" xfId="39" applyFont="1" applyBorder="1" applyAlignment="1">
      <alignment horizontal="right"/>
    </xf>
    <xf numFmtId="0" fontId="0" fillId="0" borderId="32" xfId="0" applyBorder="1" applyAlignment="1">
      <alignment horizontal="center"/>
    </xf>
    <xf numFmtId="0" fontId="0" fillId="0" borderId="16" xfId="0" applyBorder="1" applyAlignment="1">
      <alignment horizontal="center"/>
    </xf>
    <xf numFmtId="0" fontId="0" fillId="0" borderId="35" xfId="0" applyBorder="1" applyAlignment="1">
      <alignment horizontal="center"/>
    </xf>
    <xf numFmtId="0" fontId="0" fillId="0" borderId="14" xfId="0" applyBorder="1" applyAlignment="1">
      <alignment horizontal="center"/>
    </xf>
    <xf numFmtId="0" fontId="0" fillId="0" borderId="11" xfId="0" applyBorder="1" applyAlignment="1">
      <alignment horizontal="center"/>
    </xf>
    <xf numFmtId="0" fontId="72" fillId="0" borderId="0" xfId="39" applyFont="1" applyBorder="1" applyAlignment="1">
      <alignment horizontal="center" vertical="center" textRotation="90" shrinkToFit="1"/>
    </xf>
    <xf numFmtId="0" fontId="17" fillId="0" borderId="15" xfId="40" applyNumberFormat="1" applyFont="1" applyFill="1" applyBorder="1" applyAlignment="1" applyProtection="1">
      <alignment horizontal="left" vertical="center" wrapText="1"/>
    </xf>
    <xf numFmtId="0" fontId="17" fillId="0" borderId="0" xfId="40" applyNumberFormat="1" applyFont="1" applyFill="1" applyBorder="1" applyAlignment="1" applyProtection="1">
      <alignment horizontal="left" vertical="center" wrapText="1"/>
    </xf>
    <xf numFmtId="0" fontId="19" fillId="0" borderId="10" xfId="39" applyFont="1" applyFill="1" applyBorder="1" applyAlignment="1">
      <alignment horizontal="center" vertical="center" textRotation="90" shrinkToFit="1"/>
    </xf>
    <xf numFmtId="0" fontId="19" fillId="0" borderId="11" xfId="39" applyFont="1" applyFill="1" applyBorder="1" applyAlignment="1">
      <alignment horizontal="center" vertical="center" textRotation="90" shrinkToFit="1"/>
    </xf>
    <xf numFmtId="0" fontId="84" fillId="0" borderId="38" xfId="40" applyNumberFormat="1" applyFont="1" applyFill="1" applyBorder="1" applyAlignment="1" applyProtection="1">
      <alignment horizontal="justify" vertical="top" wrapText="1"/>
    </xf>
    <xf numFmtId="0" fontId="84" fillId="0" borderId="31" xfId="40" applyNumberFormat="1" applyFont="1" applyFill="1" applyBorder="1" applyAlignment="1" applyProtection="1">
      <alignment horizontal="justify" vertical="top" wrapText="1"/>
    </xf>
    <xf numFmtId="2" fontId="77" fillId="0" borderId="16" xfId="39" applyNumberFormat="1" applyFont="1" applyBorder="1" applyAlignment="1">
      <alignment horizontal="center" vertical="center" textRotation="90"/>
    </xf>
    <xf numFmtId="2" fontId="77" fillId="0" borderId="0" xfId="39" applyNumberFormat="1" applyFont="1" applyBorder="1" applyAlignment="1">
      <alignment horizontal="center" vertical="center" textRotation="90"/>
    </xf>
    <xf numFmtId="2" fontId="77" fillId="0" borderId="14" xfId="39" applyNumberFormat="1" applyFont="1" applyBorder="1" applyAlignment="1">
      <alignment horizontal="center" vertical="center" textRotation="90"/>
    </xf>
    <xf numFmtId="0" fontId="72" fillId="0" borderId="35" xfId="39" applyFont="1" applyBorder="1" applyAlignment="1">
      <alignment horizontal="center" vertical="center" textRotation="90"/>
    </xf>
    <xf numFmtId="0" fontId="72" fillId="0" borderId="10" xfId="39" applyFont="1" applyBorder="1" applyAlignment="1">
      <alignment horizontal="center" vertical="center" textRotation="90"/>
    </xf>
    <xf numFmtId="0" fontId="72" fillId="0" borderId="11" xfId="39" applyFont="1" applyBorder="1" applyAlignment="1">
      <alignment horizontal="center" vertical="center" textRotation="90"/>
    </xf>
    <xf numFmtId="0" fontId="73" fillId="24" borderId="16" xfId="39" applyFont="1" applyFill="1" applyBorder="1" applyAlignment="1">
      <alignment horizontal="right"/>
    </xf>
    <xf numFmtId="2" fontId="77" fillId="0" borderId="16" xfId="39" applyNumberFormat="1" applyFont="1" applyBorder="1" applyAlignment="1">
      <alignment horizontal="center"/>
    </xf>
    <xf numFmtId="1" fontId="73" fillId="24" borderId="31" xfId="39" applyNumberFormat="1" applyFont="1" applyFill="1" applyBorder="1" applyAlignment="1">
      <alignment horizontal="right"/>
    </xf>
    <xf numFmtId="0" fontId="72" fillId="0" borderId="31" xfId="39" applyFont="1" applyBorder="1" applyAlignment="1">
      <alignment horizontal="center" vertical="center"/>
    </xf>
    <xf numFmtId="0" fontId="14" fillId="0" borderId="17" xfId="40" applyNumberFormat="1" applyFont="1" applyFill="1" applyBorder="1" applyAlignment="1" applyProtection="1">
      <alignment horizontal="center" vertical="top" wrapText="1"/>
    </xf>
    <xf numFmtId="0" fontId="17" fillId="0" borderId="15" xfId="40" applyNumberFormat="1" applyFont="1" applyFill="1" applyBorder="1" applyAlignment="1" applyProtection="1">
      <alignment horizontal="center" vertical="center" wrapText="1"/>
    </xf>
    <xf numFmtId="0" fontId="17" fillId="0" borderId="18" xfId="40" applyNumberFormat="1" applyFont="1" applyFill="1" applyBorder="1" applyAlignment="1" applyProtection="1">
      <alignment horizontal="center" vertical="center" wrapText="1"/>
    </xf>
    <xf numFmtId="0" fontId="85" fillId="0" borderId="31" xfId="39" applyFont="1" applyBorder="1" applyAlignment="1">
      <alignment horizontal="right"/>
    </xf>
    <xf numFmtId="0" fontId="73" fillId="24" borderId="14" xfId="39" applyFont="1" applyFill="1" applyBorder="1" applyAlignment="1">
      <alignment horizontal="right"/>
    </xf>
    <xf numFmtId="0" fontId="72" fillId="24" borderId="31" xfId="39" applyFont="1" applyFill="1" applyBorder="1" applyAlignment="1">
      <alignment horizontal="right"/>
    </xf>
    <xf numFmtId="0" fontId="77" fillId="0" borderId="35" xfId="39" applyFont="1" applyBorder="1" applyAlignment="1">
      <alignment horizontal="center" vertical="center" textRotation="90"/>
    </xf>
    <xf numFmtId="0" fontId="77" fillId="0" borderId="10" xfId="39" applyFont="1" applyBorder="1" applyAlignment="1">
      <alignment horizontal="center" vertical="center" textRotation="90"/>
    </xf>
    <xf numFmtId="0" fontId="77" fillId="0" borderId="11" xfId="39" applyFont="1" applyBorder="1" applyAlignment="1">
      <alignment horizontal="center" vertical="center" textRotation="90"/>
    </xf>
    <xf numFmtId="0" fontId="76" fillId="0" borderId="35" xfId="39" applyFont="1" applyBorder="1" applyAlignment="1">
      <alignment horizontal="center" vertical="center" textRotation="90"/>
    </xf>
    <xf numFmtId="0" fontId="76" fillId="0" borderId="10" xfId="39" applyFont="1" applyBorder="1" applyAlignment="1">
      <alignment horizontal="center" vertical="center" textRotation="90"/>
    </xf>
    <xf numFmtId="0" fontId="76" fillId="0" borderId="11" xfId="39" applyFont="1" applyBorder="1" applyAlignment="1">
      <alignment horizontal="center" vertical="center" textRotation="90"/>
    </xf>
    <xf numFmtId="0" fontId="74" fillId="0" borderId="35" xfId="39" applyFont="1" applyBorder="1" applyAlignment="1">
      <alignment horizontal="center" vertical="center" textRotation="90" shrinkToFit="1"/>
    </xf>
    <xf numFmtId="0" fontId="74" fillId="0" borderId="10" xfId="39" applyFont="1" applyBorder="1" applyAlignment="1">
      <alignment horizontal="center" vertical="center" textRotation="90" shrinkToFit="1"/>
    </xf>
    <xf numFmtId="0" fontId="74" fillId="0" borderId="11" xfId="39" applyFont="1" applyBorder="1" applyAlignment="1">
      <alignment horizontal="center" vertical="center" textRotation="90" shrinkToFit="1"/>
    </xf>
    <xf numFmtId="0" fontId="17" fillId="0" borderId="38" xfId="40" applyNumberFormat="1" applyFont="1" applyFill="1" applyBorder="1" applyAlignment="1" applyProtection="1">
      <alignment horizontal="center" vertical="top"/>
    </xf>
    <xf numFmtId="0" fontId="17" fillId="0" borderId="31" xfId="40" applyNumberFormat="1" applyFont="1" applyFill="1" applyBorder="1" applyAlignment="1" applyProtection="1">
      <alignment horizontal="center" vertical="top"/>
    </xf>
    <xf numFmtId="0" fontId="73" fillId="0" borderId="15" xfId="39" applyFont="1" applyBorder="1" applyAlignment="1">
      <alignment horizontal="center"/>
    </xf>
    <xf numFmtId="0" fontId="73" fillId="0" borderId="0" xfId="39" applyFont="1" applyBorder="1" applyAlignment="1">
      <alignment horizontal="center"/>
    </xf>
    <xf numFmtId="0" fontId="73" fillId="0" borderId="10" xfId="39" applyFont="1" applyBorder="1" applyAlignment="1">
      <alignment horizontal="center"/>
    </xf>
    <xf numFmtId="0" fontId="17" fillId="0" borderId="17" xfId="39" applyFont="1" applyFill="1" applyBorder="1" applyAlignment="1">
      <alignment horizontal="center" vertical="center"/>
    </xf>
    <xf numFmtId="0" fontId="17" fillId="0" borderId="17" xfId="40" applyNumberFormat="1" applyFont="1" applyFill="1" applyBorder="1" applyAlignment="1" applyProtection="1">
      <alignment horizontal="center" vertical="top"/>
    </xf>
    <xf numFmtId="0" fontId="17" fillId="0" borderId="38" xfId="41" applyNumberFormat="1" applyFont="1" applyFill="1" applyBorder="1" applyAlignment="1" applyProtection="1">
      <alignment horizontal="center" vertical="top"/>
    </xf>
    <xf numFmtId="0" fontId="17" fillId="0" borderId="31" xfId="41" applyNumberFormat="1" applyFont="1" applyFill="1" applyBorder="1" applyAlignment="1" applyProtection="1">
      <alignment horizontal="center" vertical="top"/>
    </xf>
    <xf numFmtId="0" fontId="17" fillId="0" borderId="17" xfId="41" applyNumberFormat="1" applyFont="1" applyFill="1" applyBorder="1" applyAlignment="1" applyProtection="1">
      <alignment horizontal="center" vertical="top"/>
    </xf>
    <xf numFmtId="0" fontId="17" fillId="0" borderId="38" xfId="40" applyNumberFormat="1" applyFont="1" applyFill="1" applyBorder="1" applyAlignment="1" applyProtection="1">
      <alignment horizontal="justify" vertical="top" wrapText="1"/>
    </xf>
    <xf numFmtId="0" fontId="17" fillId="0" borderId="31" xfId="40" applyNumberFormat="1" applyFont="1" applyFill="1" applyBorder="1" applyAlignment="1" applyProtection="1">
      <alignment horizontal="justify" vertical="top" wrapText="1"/>
    </xf>
    <xf numFmtId="0" fontId="17" fillId="0" borderId="38" xfId="40" applyNumberFormat="1" applyFont="1" applyFill="1" applyBorder="1" applyAlignment="1" applyProtection="1">
      <alignment horizontal="justify" vertical="top"/>
    </xf>
    <xf numFmtId="0" fontId="17" fillId="0" borderId="31" xfId="40" applyNumberFormat="1" applyFont="1" applyFill="1" applyBorder="1" applyAlignment="1" applyProtection="1">
      <alignment horizontal="justify" vertical="top"/>
    </xf>
    <xf numFmtId="1" fontId="73" fillId="24" borderId="0" xfId="39" applyNumberFormat="1" applyFont="1" applyFill="1" applyBorder="1" applyAlignment="1">
      <alignment horizontal="right"/>
    </xf>
    <xf numFmtId="0" fontId="77" fillId="0" borderId="10" xfId="39" applyFont="1" applyBorder="1" applyAlignment="1">
      <alignment horizontal="center" vertical="center" textRotation="90" shrinkToFit="1"/>
    </xf>
    <xf numFmtId="0" fontId="77" fillId="0" borderId="11" xfId="39" applyFont="1" applyBorder="1" applyAlignment="1">
      <alignment horizontal="center" vertical="center" textRotation="90" shrinkToFit="1"/>
    </xf>
    <xf numFmtId="1" fontId="73" fillId="24" borderId="27" xfId="39" applyNumberFormat="1" applyFont="1" applyFill="1" applyBorder="1" applyAlignment="1">
      <alignment horizontal="right"/>
    </xf>
    <xf numFmtId="1" fontId="72" fillId="24" borderId="0" xfId="39" applyNumberFormat="1" applyFont="1" applyFill="1" applyBorder="1" applyAlignment="1">
      <alignment horizontal="right"/>
    </xf>
    <xf numFmtId="1" fontId="73" fillId="24" borderId="28" xfId="39" applyNumberFormat="1" applyFont="1" applyFill="1" applyBorder="1" applyAlignment="1">
      <alignment horizontal="center"/>
    </xf>
  </cellXfs>
  <cellStyles count="55">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52" builtinId="3"/>
    <cellStyle name="Comma 2" xfId="54"/>
    <cellStyle name="Euro" xfId="28"/>
    <cellStyle name="Euro 2" xfId="48"/>
    <cellStyle name="Explanatory Text" xfId="29" builtinId="53" customBuilti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Input" xfId="35" builtinId="20" customBuiltin="1"/>
    <cellStyle name="Linked Cell" xfId="36" builtinId="24" customBuiltin="1"/>
    <cellStyle name="Neutral" xfId="37" builtinId="28" customBuiltin="1"/>
    <cellStyle name="Normal" xfId="0" builtinId="0"/>
    <cellStyle name="Normal 2" xfId="38"/>
    <cellStyle name="Normal 2 2" xfId="49"/>
    <cellStyle name="Normal 3" xfId="47"/>
    <cellStyle name="Normal 4" xfId="51"/>
    <cellStyle name="Normal 8" xfId="50"/>
    <cellStyle name="Normal_ITR-1" xfId="39"/>
    <cellStyle name="Normal_ITR4" xfId="40"/>
    <cellStyle name="Normal_tmp96" xfId="41"/>
    <cellStyle name="Note" xfId="42" builtinId="10" customBuiltin="1"/>
    <cellStyle name="Output" xfId="43" builtinId="21" customBuiltin="1"/>
    <cellStyle name="Percent" xfId="53" builtinId="5"/>
    <cellStyle name="Title" xfId="44" builtinId="15" customBuiltin="1"/>
    <cellStyle name="Total" xfId="45" builtinId="25" customBuiltin="1"/>
    <cellStyle name="Warning Text" xfId="46" builtinId="11" customBuiltin="1"/>
  </cellStyles>
  <dxfs count="11">
    <dxf>
      <font>
        <condense val="0"/>
        <extend val="0"/>
        <color indexed="12"/>
      </font>
      <fill>
        <patternFill>
          <bgColor indexed="9"/>
        </patternFill>
      </fill>
    </dxf>
    <dxf>
      <font>
        <condense val="0"/>
        <extend val="0"/>
        <color indexed="12"/>
      </font>
      <fill>
        <patternFill>
          <bgColor indexed="9"/>
        </patternFill>
      </fill>
    </dxf>
    <dxf>
      <font>
        <condense val="0"/>
        <extend val="0"/>
        <color indexed="12"/>
      </font>
      <fill>
        <patternFill>
          <bgColor indexed="9"/>
        </patternFill>
      </fill>
    </dxf>
    <dxf>
      <font>
        <condense val="0"/>
        <extend val="0"/>
        <color indexed="12"/>
      </font>
      <fill>
        <patternFill>
          <bgColor indexed="9"/>
        </patternFill>
      </fill>
    </dxf>
    <dxf>
      <font>
        <condense val="0"/>
        <extend val="0"/>
        <color indexed="12"/>
      </font>
      <fill>
        <patternFill>
          <bgColor indexed="9"/>
        </patternFill>
      </fill>
    </dxf>
    <dxf>
      <font>
        <condense val="0"/>
        <extend val="0"/>
        <color indexed="12"/>
      </font>
      <fill>
        <patternFill>
          <bgColor indexed="9"/>
        </patternFill>
      </fill>
    </dxf>
    <dxf>
      <font>
        <condense val="0"/>
        <extend val="0"/>
        <color indexed="12"/>
      </font>
      <fill>
        <patternFill>
          <bgColor indexed="9"/>
        </patternFill>
      </fill>
    </dxf>
    <dxf>
      <font>
        <condense val="0"/>
        <extend val="0"/>
        <color indexed="12"/>
      </font>
      <fill>
        <patternFill>
          <bgColor indexed="9"/>
        </patternFill>
      </fill>
    </dxf>
    <dxf>
      <font>
        <condense val="0"/>
        <extend val="0"/>
        <color indexed="12"/>
      </font>
      <fill>
        <patternFill>
          <bgColor indexed="9"/>
        </patternFill>
      </fill>
    </dxf>
    <dxf>
      <font>
        <condense val="0"/>
        <extend val="0"/>
        <color indexed="12"/>
      </font>
      <fill>
        <patternFill>
          <bgColor indexed="9"/>
        </patternFill>
      </fill>
    </dxf>
    <dxf>
      <font>
        <condense val="0"/>
        <extend val="0"/>
        <color indexed="12"/>
      </font>
      <fill>
        <patternFill>
          <bgColor indexed="9"/>
        </patternFill>
      </fill>
    </dxf>
  </dxfs>
  <tableStyles count="0" defaultTableStyle="TableStyleMedium9" defaultPivotStyle="PivotStyleLight16"/>
  <colors>
    <mruColors>
      <color rgb="FF080CB8"/>
      <color rgb="FFFFFFFF"/>
      <color rgb="FFDE996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15</xdr:col>
      <xdr:colOff>114300</xdr:colOff>
      <xdr:row>354</xdr:row>
      <xdr:rowOff>0</xdr:rowOff>
    </xdr:from>
    <xdr:to>
      <xdr:col>22</xdr:col>
      <xdr:colOff>85725</xdr:colOff>
      <xdr:row>354</xdr:row>
      <xdr:rowOff>0</xdr:rowOff>
    </xdr:to>
    <xdr:pic>
      <xdr:nvPicPr>
        <xdr:cNvPr id="12319" name="Picture 1" descr="new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14625" y="66294000"/>
          <a:ext cx="13906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tilmb21.indiatimes.com/service/home/~/Final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1.86 "/>
      <sheetName val="Reader"/>
      <sheetName val="Sheet1"/>
    </sheetNames>
    <sheetDataSet>
      <sheetData sheetId="0"/>
      <sheetData sheetId="1"/>
      <sheetData sheetId="2">
        <row r="4">
          <cell r="S4">
            <v>13260</v>
          </cell>
          <cell r="T4">
            <v>37400</v>
          </cell>
        </row>
        <row r="5">
          <cell r="S5">
            <v>13680</v>
          </cell>
          <cell r="T5">
            <v>37400</v>
          </cell>
        </row>
        <row r="6">
          <cell r="S6">
            <v>14100</v>
          </cell>
          <cell r="T6">
            <v>38530</v>
          </cell>
        </row>
        <row r="7">
          <cell r="S7">
            <v>14520</v>
          </cell>
          <cell r="T7">
            <v>38530</v>
          </cell>
        </row>
        <row r="8">
          <cell r="S8">
            <v>14940</v>
          </cell>
          <cell r="T8">
            <v>39690</v>
          </cell>
        </row>
        <row r="9">
          <cell r="S9">
            <v>15360</v>
          </cell>
          <cell r="T9">
            <v>39690</v>
          </cell>
        </row>
        <row r="10">
          <cell r="S10">
            <v>15780</v>
          </cell>
          <cell r="T10">
            <v>40890</v>
          </cell>
        </row>
        <row r="11">
          <cell r="S11">
            <v>16200</v>
          </cell>
          <cell r="T11">
            <v>40890</v>
          </cell>
        </row>
        <row r="12">
          <cell r="S12">
            <v>16400</v>
          </cell>
          <cell r="T12">
            <v>43390</v>
          </cell>
        </row>
        <row r="13">
          <cell r="S13">
            <v>16620</v>
          </cell>
          <cell r="T13">
            <v>42120</v>
          </cell>
        </row>
        <row r="14">
          <cell r="S14">
            <v>16850</v>
          </cell>
          <cell r="T14">
            <v>43390</v>
          </cell>
        </row>
        <row r="15">
          <cell r="S15">
            <v>17040</v>
          </cell>
          <cell r="T15">
            <v>42120</v>
          </cell>
        </row>
        <row r="16">
          <cell r="S16">
            <v>17300</v>
          </cell>
          <cell r="T16">
            <v>44700</v>
          </cell>
        </row>
        <row r="17">
          <cell r="S17">
            <v>17460</v>
          </cell>
          <cell r="T17">
            <v>43390</v>
          </cell>
        </row>
        <row r="18">
          <cell r="S18">
            <v>17750</v>
          </cell>
          <cell r="T18">
            <v>44700</v>
          </cell>
        </row>
        <row r="19">
          <cell r="S19">
            <v>17880</v>
          </cell>
          <cell r="T19">
            <v>43390</v>
          </cell>
        </row>
        <row r="20">
          <cell r="S20">
            <v>18200</v>
          </cell>
          <cell r="T20">
            <v>46050</v>
          </cell>
        </row>
        <row r="21">
          <cell r="S21">
            <v>18300</v>
          </cell>
          <cell r="T21">
            <v>44700</v>
          </cell>
        </row>
        <row r="22">
          <cell r="S22">
            <v>18650</v>
          </cell>
          <cell r="T22">
            <v>46050</v>
          </cell>
        </row>
        <row r="23">
          <cell r="S23">
            <v>18720</v>
          </cell>
          <cell r="T23">
            <v>44700</v>
          </cell>
        </row>
        <row r="24">
          <cell r="S24">
            <v>19100</v>
          </cell>
          <cell r="T24">
            <v>47440</v>
          </cell>
        </row>
        <row r="25">
          <cell r="S25">
            <v>19140</v>
          </cell>
          <cell r="T25">
            <v>46050</v>
          </cell>
        </row>
        <row r="26">
          <cell r="S26">
            <v>19550</v>
          </cell>
          <cell r="T26">
            <v>47440</v>
          </cell>
        </row>
        <row r="27">
          <cell r="S27">
            <v>19560</v>
          </cell>
          <cell r="T27">
            <v>46050</v>
          </cell>
        </row>
        <row r="28">
          <cell r="S28">
            <v>19980</v>
          </cell>
          <cell r="T28">
            <v>47440</v>
          </cell>
        </row>
        <row r="29">
          <cell r="S29">
            <v>20000</v>
          </cell>
          <cell r="T29">
            <v>48870</v>
          </cell>
        </row>
        <row r="30">
          <cell r="S30">
            <v>20450</v>
          </cell>
          <cell r="T30">
            <v>48870</v>
          </cell>
        </row>
        <row r="31">
          <cell r="S31">
            <v>20900</v>
          </cell>
          <cell r="T31">
            <v>50340</v>
          </cell>
        </row>
        <row r="32">
          <cell r="S32">
            <v>21400</v>
          </cell>
          <cell r="T32">
            <v>50340</v>
          </cell>
        </row>
        <row r="33">
          <cell r="S33">
            <v>21900</v>
          </cell>
          <cell r="T33">
            <v>51860</v>
          </cell>
        </row>
        <row r="34">
          <cell r="S34">
            <v>22400</v>
          </cell>
          <cell r="T34">
            <v>51860</v>
          </cell>
        </row>
        <row r="35">
          <cell r="S35">
            <v>22900</v>
          </cell>
          <cell r="T35">
            <v>53420</v>
          </cell>
        </row>
        <row r="36">
          <cell r="S36">
            <v>23400</v>
          </cell>
          <cell r="T36">
            <v>53420</v>
          </cell>
        </row>
        <row r="37">
          <cell r="S37">
            <v>23900</v>
          </cell>
          <cell r="T37">
            <v>55030</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1.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2.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3.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4.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6.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7.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printerSettings" Target="../printerSettings/printerSettings1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9.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printerSettings" Target="../printerSettings/printerSettings20.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printerSettings" Target="../printerSettings/printerSettings21.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22.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23.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printerSettings" Target="../printerSettings/printerSettings24.bin"/></Relationships>
</file>

<file path=xl/worksheets/_rels/sheet24.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25.bin"/></Relationships>
</file>

<file path=xl/worksheets/_rels/sheet25.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printerSettings" Target="../printerSettings/printerSettings26.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8.xml.rels><?xml version="1.0" encoding="UTF-8" standalone="yes"?>
<Relationships xmlns="http://schemas.openxmlformats.org/package/2006/relationships"><Relationship Id="rId3" Type="http://schemas.openxmlformats.org/officeDocument/2006/relationships/comments" Target="../comments22.xml"/><Relationship Id="rId2" Type="http://schemas.openxmlformats.org/officeDocument/2006/relationships/vmlDrawing" Target="../drawings/vmlDrawing22.vml"/><Relationship Id="rId1" Type="http://schemas.openxmlformats.org/officeDocument/2006/relationships/printerSettings" Target="../printerSettings/printerSettings29.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M110"/>
  <sheetViews>
    <sheetView showZeros="0" zoomScale="110" zoomScaleNormal="115" workbookViewId="0">
      <selection activeCell="D2" sqref="D2"/>
    </sheetView>
  </sheetViews>
  <sheetFormatPr defaultColWidth="9.140625" defaultRowHeight="18" customHeight="1"/>
  <cols>
    <col min="1" max="1" width="16.85546875" style="1" customWidth="1"/>
    <col min="2" max="2" width="26.85546875" style="608" customWidth="1"/>
    <col min="3" max="3" width="29.85546875" style="1" customWidth="1"/>
    <col min="4" max="4" width="12.7109375" style="1" customWidth="1"/>
    <col min="5" max="5" width="10.7109375" style="1" customWidth="1"/>
    <col min="6" max="6" width="9.85546875" style="1" customWidth="1"/>
    <col min="7" max="7" width="9.140625" style="1"/>
    <col min="8" max="8" width="13.5703125" style="1" bestFit="1" customWidth="1"/>
    <col min="9" max="9" width="10.28515625" style="1" bestFit="1" customWidth="1"/>
    <col min="10" max="16384" width="9.140625" style="1"/>
  </cols>
  <sheetData>
    <row r="1" spans="1:13" ht="18" customHeight="1">
      <c r="A1" s="601" t="s">
        <v>1003</v>
      </c>
      <c r="B1" s="622" t="s">
        <v>1112</v>
      </c>
      <c r="C1" s="629" t="s">
        <v>1070</v>
      </c>
      <c r="D1" s="600">
        <v>42572</v>
      </c>
      <c r="E1" s="1105">
        <f ca="1">TODAY()</f>
        <v>44231</v>
      </c>
      <c r="F1" s="1105"/>
      <c r="G1" s="570"/>
      <c r="H1" s="570"/>
    </row>
    <row r="2" spans="1:13" ht="18" customHeight="1">
      <c r="A2" s="1" t="s">
        <v>490</v>
      </c>
      <c r="B2" s="623" t="s">
        <v>1114</v>
      </c>
      <c r="C2" s="549"/>
      <c r="D2" s="467">
        <f>IF(E2&lt;20546,"SENIOR",0)</f>
        <v>0</v>
      </c>
      <c r="E2" s="1106">
        <v>31022</v>
      </c>
      <c r="F2" s="1106"/>
      <c r="G2" s="8"/>
      <c r="H2" s="604"/>
      <c r="J2" s="400"/>
      <c r="K2" s="400"/>
      <c r="L2" s="400"/>
      <c r="M2" s="400"/>
    </row>
    <row r="3" spans="1:13" ht="18" customHeight="1">
      <c r="A3" s="601" t="s">
        <v>1004</v>
      </c>
      <c r="B3" s="623" t="s">
        <v>1115</v>
      </c>
      <c r="C3" s="549"/>
      <c r="D3" s="468">
        <f>IF(E2&lt;12875,"VERY SR",0)</f>
        <v>0</v>
      </c>
      <c r="E3" s="605"/>
      <c r="F3" s="466">
        <f ca="1">E1-E2</f>
        <v>13209</v>
      </c>
      <c r="G3" s="570"/>
      <c r="H3" s="570"/>
      <c r="J3" s="400"/>
      <c r="K3" s="400"/>
      <c r="L3" s="400"/>
      <c r="M3" s="400"/>
    </row>
    <row r="4" spans="1:13" ht="18" customHeight="1">
      <c r="A4" s="1" t="s">
        <v>491</v>
      </c>
      <c r="B4" s="623" t="s">
        <v>1116</v>
      </c>
      <c r="C4" s="549"/>
      <c r="D4" s="606" t="s">
        <v>1092</v>
      </c>
      <c r="E4" s="463"/>
      <c r="F4" s="464"/>
      <c r="I4" s="606"/>
      <c r="J4" s="400"/>
      <c r="K4" s="400"/>
      <c r="L4" s="400"/>
      <c r="M4" s="400"/>
    </row>
    <row r="5" spans="1:13" ht="18" customHeight="1">
      <c r="A5" s="601" t="s">
        <v>1005</v>
      </c>
      <c r="B5" s="623" t="s">
        <v>1117</v>
      </c>
      <c r="C5" s="630" t="s">
        <v>1118</v>
      </c>
      <c r="D5" s="606" t="s">
        <v>1073</v>
      </c>
      <c r="E5" s="529"/>
      <c r="F5" s="533"/>
      <c r="G5" s="400"/>
      <c r="H5" s="400"/>
      <c r="J5" s="400"/>
      <c r="K5" s="400"/>
      <c r="L5" s="400"/>
      <c r="M5" s="400"/>
    </row>
    <row r="6" spans="1:13" ht="18" customHeight="1">
      <c r="A6" s="1" t="s">
        <v>492</v>
      </c>
      <c r="B6" s="623" t="s">
        <v>1119</v>
      </c>
      <c r="C6" s="549"/>
      <c r="D6" s="606" t="s">
        <v>1074</v>
      </c>
      <c r="E6" s="529"/>
      <c r="F6" s="533"/>
      <c r="G6" s="607"/>
      <c r="H6" s="400"/>
      <c r="J6" s="400"/>
      <c r="K6" s="400"/>
      <c r="L6" s="400"/>
      <c r="M6" s="400"/>
    </row>
    <row r="7" spans="1:13" ht="18" customHeight="1">
      <c r="A7" s="601" t="s">
        <v>1006</v>
      </c>
      <c r="B7" s="622" t="s">
        <v>1113</v>
      </c>
      <c r="C7" s="549"/>
      <c r="D7" s="606" t="s">
        <v>1077</v>
      </c>
      <c r="E7" s="529"/>
      <c r="F7" s="533"/>
      <c r="G7" s="400"/>
      <c r="H7" s="400"/>
      <c r="J7" s="400"/>
      <c r="K7" s="400"/>
      <c r="L7" s="400"/>
      <c r="M7" s="400"/>
    </row>
    <row r="8" spans="1:13" ht="18" customHeight="1">
      <c r="A8" s="1" t="s">
        <v>493</v>
      </c>
      <c r="B8" s="624" t="s">
        <v>1120</v>
      </c>
      <c r="C8" s="631"/>
      <c r="D8" s="606" t="s">
        <v>1075</v>
      </c>
      <c r="E8" s="529"/>
      <c r="F8" s="533"/>
      <c r="G8" s="400"/>
      <c r="H8" s="400"/>
      <c r="I8" s="8"/>
      <c r="J8" s="8"/>
      <c r="K8" s="8"/>
      <c r="L8" s="8"/>
      <c r="M8" s="8"/>
    </row>
    <row r="9" spans="1:13" ht="18" customHeight="1">
      <c r="A9" s="1" t="s">
        <v>494</v>
      </c>
      <c r="B9" s="623" t="s">
        <v>1121</v>
      </c>
      <c r="C9" s="549"/>
      <c r="D9" s="606" t="s">
        <v>1076</v>
      </c>
      <c r="E9" s="463"/>
      <c r="F9" s="464"/>
    </row>
    <row r="10" spans="1:13" ht="18" customHeight="1">
      <c r="A10" s="601" t="s">
        <v>1007</v>
      </c>
      <c r="B10" s="623" t="s">
        <v>1122</v>
      </c>
      <c r="C10" s="549"/>
      <c r="D10" s="606" t="s">
        <v>1089</v>
      </c>
      <c r="E10" s="14"/>
      <c r="F10" s="46"/>
    </row>
    <row r="11" spans="1:13" ht="18" customHeight="1">
      <c r="A11" s="601" t="s">
        <v>1008</v>
      </c>
      <c r="B11" s="625" t="s">
        <v>1085</v>
      </c>
      <c r="C11" s="549"/>
      <c r="D11" s="400" t="s">
        <v>1018</v>
      </c>
      <c r="E11" s="609" t="s">
        <v>1090</v>
      </c>
      <c r="F11" s="1102" t="s">
        <v>1019</v>
      </c>
      <c r="G11" s="1102" t="s">
        <v>1016</v>
      </c>
      <c r="H11" s="1102" t="s">
        <v>1017</v>
      </c>
    </row>
    <row r="12" spans="1:13" ht="18" customHeight="1">
      <c r="A12" s="601" t="s">
        <v>1009</v>
      </c>
      <c r="B12" s="626" t="s">
        <v>1086</v>
      </c>
      <c r="C12" s="549"/>
      <c r="D12" s="32" t="s">
        <v>1091</v>
      </c>
      <c r="F12" s="1102"/>
      <c r="G12" s="1102"/>
      <c r="H12" s="1102"/>
    </row>
    <row r="13" spans="1:13" ht="15" customHeight="1">
      <c r="A13" s="601" t="s">
        <v>1010</v>
      </c>
      <c r="B13" s="623" t="s">
        <v>1128</v>
      </c>
      <c r="C13" s="632"/>
      <c r="D13" s="1103" t="s">
        <v>1028</v>
      </c>
      <c r="E13" s="1103"/>
      <c r="F13" s="610">
        <v>0</v>
      </c>
      <c r="G13" s="611"/>
      <c r="H13" s="611"/>
    </row>
    <row r="14" spans="1:13" ht="15" customHeight="1">
      <c r="A14" s="601" t="s">
        <v>1011</v>
      </c>
      <c r="B14" s="623" t="s">
        <v>1130</v>
      </c>
      <c r="C14" s="549"/>
      <c r="D14" s="566">
        <v>250000</v>
      </c>
      <c r="E14" s="566">
        <v>300000</v>
      </c>
      <c r="F14" s="612">
        <v>0.1</v>
      </c>
      <c r="G14" s="613"/>
      <c r="H14" s="614"/>
    </row>
    <row r="15" spans="1:13" ht="15" customHeight="1">
      <c r="A15" s="601" t="s">
        <v>1012</v>
      </c>
      <c r="B15" s="623" t="s">
        <v>1129</v>
      </c>
      <c r="C15" s="549"/>
      <c r="D15" s="566">
        <v>300000</v>
      </c>
      <c r="E15" s="566">
        <v>500000</v>
      </c>
      <c r="F15" s="612">
        <v>0.1</v>
      </c>
      <c r="G15" s="612">
        <v>0.1</v>
      </c>
      <c r="H15" s="613"/>
    </row>
    <row r="16" spans="1:13" ht="18" customHeight="1">
      <c r="A16" s="1" t="s">
        <v>495</v>
      </c>
      <c r="B16" s="623" t="s">
        <v>1123</v>
      </c>
      <c r="C16" s="549"/>
      <c r="D16" s="566">
        <v>500000</v>
      </c>
      <c r="E16" s="566">
        <v>1000000</v>
      </c>
      <c r="F16" s="612">
        <v>0.2</v>
      </c>
      <c r="G16" s="612">
        <v>0.2</v>
      </c>
      <c r="H16" s="612">
        <v>0.2</v>
      </c>
      <c r="I16" s="615"/>
    </row>
    <row r="17" spans="1:9" ht="18" customHeight="1">
      <c r="A17" s="633" t="s">
        <v>341</v>
      </c>
      <c r="B17" s="634" t="s">
        <v>1100</v>
      </c>
      <c r="C17" s="469"/>
      <c r="D17" s="1104" t="s">
        <v>1029</v>
      </c>
      <c r="E17" s="1104"/>
      <c r="F17" s="635">
        <v>0.3</v>
      </c>
      <c r="G17" s="635">
        <v>0.3</v>
      </c>
      <c r="H17" s="635">
        <v>0.3</v>
      </c>
    </row>
    <row r="18" spans="1:9" s="617" customFormat="1" ht="18" customHeight="1">
      <c r="A18" s="616" t="s">
        <v>1031</v>
      </c>
      <c r="B18" s="627"/>
      <c r="C18" s="603"/>
      <c r="D18" s="603"/>
      <c r="E18" s="603"/>
      <c r="F18" s="603"/>
      <c r="G18" s="603"/>
      <c r="H18" s="603"/>
      <c r="I18" s="603"/>
    </row>
    <row r="19" spans="1:9" s="617" customFormat="1" ht="18" customHeight="1">
      <c r="A19" s="602" t="s">
        <v>1032</v>
      </c>
      <c r="B19" s="628"/>
      <c r="C19" s="618"/>
      <c r="D19" s="619"/>
    </row>
    <row r="20" spans="1:9" s="617" customFormat="1" ht="18" customHeight="1">
      <c r="A20" s="602" t="s">
        <v>1033</v>
      </c>
    </row>
    <row r="21" spans="1:9" s="617" customFormat="1" ht="18" customHeight="1">
      <c r="B21" s="620"/>
      <c r="C21" s="621"/>
      <c r="D21" s="606"/>
    </row>
    <row r="22" spans="1:9" s="617" customFormat="1" ht="18" customHeight="1">
      <c r="B22" s="620"/>
      <c r="C22" s="621"/>
      <c r="D22" s="606"/>
    </row>
    <row r="23" spans="1:9" s="617" customFormat="1" ht="18" customHeight="1"/>
    <row r="24" spans="1:9" s="617" customFormat="1" ht="18" customHeight="1"/>
    <row r="25" spans="1:9" s="617" customFormat="1" ht="18" customHeight="1"/>
    <row r="26" spans="1:9" s="617" customFormat="1" ht="18" customHeight="1"/>
    <row r="27" spans="1:9" s="617" customFormat="1" ht="18" customHeight="1"/>
    <row r="28" spans="1:9" s="617" customFormat="1" ht="18" customHeight="1"/>
    <row r="29" spans="1:9" s="617" customFormat="1" ht="18" customHeight="1"/>
    <row r="30" spans="1:9" s="617" customFormat="1" ht="18" customHeight="1"/>
    <row r="31" spans="1:9" s="617" customFormat="1" ht="18" customHeight="1"/>
    <row r="32" spans="1:9" s="617" customFormat="1" ht="18" customHeight="1"/>
    <row r="33" s="617" customFormat="1" ht="18" customHeight="1"/>
    <row r="34" s="617" customFormat="1" ht="18" customHeight="1"/>
    <row r="35" s="617" customFormat="1" ht="18" customHeight="1"/>
    <row r="36" s="617" customFormat="1" ht="18" customHeight="1"/>
    <row r="37" s="617" customFormat="1" ht="18" customHeight="1"/>
    <row r="38" s="617" customFormat="1" ht="18" customHeight="1"/>
    <row r="39" s="617" customFormat="1" ht="18" customHeight="1"/>
    <row r="40" s="617" customFormat="1" ht="18" customHeight="1"/>
    <row r="41" s="617" customFormat="1" ht="18" customHeight="1"/>
    <row r="42" s="617" customFormat="1" ht="18" customHeight="1"/>
    <row r="43" s="617" customFormat="1" ht="18" customHeight="1"/>
    <row r="44" s="617" customFormat="1" ht="18" customHeight="1"/>
    <row r="45" s="617" customFormat="1" ht="18" customHeight="1"/>
    <row r="46" s="617" customFormat="1" ht="18" customHeight="1"/>
    <row r="47" s="617" customFormat="1" ht="18" customHeight="1"/>
    <row r="48" s="617" customFormat="1" ht="18" customHeight="1"/>
    <row r="49" s="617" customFormat="1" ht="18" customHeight="1"/>
    <row r="50" s="617" customFormat="1" ht="18" customHeight="1"/>
    <row r="51" s="617" customFormat="1" ht="18" customHeight="1"/>
    <row r="52" s="617" customFormat="1" ht="18" customHeight="1"/>
    <row r="53" s="617" customFormat="1" ht="18" customHeight="1"/>
    <row r="54" s="617" customFormat="1" ht="18" customHeight="1"/>
    <row r="55" s="617" customFormat="1" ht="18" customHeight="1"/>
    <row r="56" s="617" customFormat="1" ht="18" customHeight="1"/>
    <row r="57" s="617" customFormat="1" ht="18" customHeight="1"/>
    <row r="58" s="617" customFormat="1" ht="18" customHeight="1"/>
    <row r="59" s="617" customFormat="1" ht="18" customHeight="1"/>
    <row r="60" s="617" customFormat="1" ht="18" customHeight="1"/>
    <row r="61" s="617" customFormat="1" ht="18" customHeight="1"/>
    <row r="62" s="617" customFormat="1" ht="18" customHeight="1"/>
    <row r="63" s="617" customFormat="1" ht="18" customHeight="1"/>
    <row r="64" s="617" customFormat="1" ht="18" customHeight="1"/>
    <row r="65" s="617" customFormat="1" ht="18" customHeight="1"/>
    <row r="66" s="617" customFormat="1" ht="18" customHeight="1"/>
    <row r="67" s="617" customFormat="1" ht="18" customHeight="1"/>
    <row r="68" s="617" customFormat="1" ht="18" customHeight="1"/>
    <row r="69" s="617" customFormat="1" ht="18" customHeight="1"/>
    <row r="70" s="617" customFormat="1" ht="18" customHeight="1"/>
    <row r="71" s="617" customFormat="1" ht="18" customHeight="1"/>
    <row r="72" s="617" customFormat="1" ht="18" customHeight="1"/>
    <row r="73" s="617" customFormat="1" ht="18" customHeight="1"/>
    <row r="74" s="617" customFormat="1" ht="18" customHeight="1"/>
    <row r="75" s="617" customFormat="1" ht="18" customHeight="1"/>
    <row r="76" s="617" customFormat="1" ht="18" customHeight="1"/>
    <row r="77" s="617" customFormat="1" ht="18" customHeight="1"/>
    <row r="78" s="617" customFormat="1" ht="18" customHeight="1"/>
    <row r="79" s="617" customFormat="1" ht="18" customHeight="1"/>
    <row r="80" s="617" customFormat="1" ht="18" customHeight="1"/>
    <row r="81" s="617" customFormat="1" ht="18" customHeight="1"/>
    <row r="82" s="617" customFormat="1" ht="18" customHeight="1"/>
    <row r="83" s="617" customFormat="1" ht="18" customHeight="1"/>
    <row r="84" s="617" customFormat="1" ht="18" customHeight="1"/>
    <row r="85" s="617" customFormat="1" ht="18" customHeight="1"/>
    <row r="86" s="617" customFormat="1" ht="18" customHeight="1"/>
    <row r="87" s="617" customFormat="1" ht="18" customHeight="1"/>
    <row r="88" s="617" customFormat="1" ht="18" customHeight="1"/>
    <row r="89" s="617" customFormat="1" ht="18" customHeight="1"/>
    <row r="90" s="617" customFormat="1" ht="18" customHeight="1"/>
    <row r="91" s="617" customFormat="1" ht="18" customHeight="1"/>
    <row r="92" s="617" customFormat="1" ht="18" customHeight="1"/>
    <row r="93" s="617" customFormat="1" ht="18" customHeight="1"/>
    <row r="94" s="617" customFormat="1" ht="18" customHeight="1"/>
    <row r="95" s="617" customFormat="1" ht="18" customHeight="1"/>
    <row r="96" s="617" customFormat="1" ht="18" customHeight="1"/>
    <row r="97" s="617" customFormat="1" ht="18" customHeight="1"/>
    <row r="98" s="617" customFormat="1" ht="18" customHeight="1"/>
    <row r="99" s="617" customFormat="1" ht="18" customHeight="1"/>
    <row r="100" s="617" customFormat="1" ht="18" customHeight="1"/>
    <row r="101" s="617" customFormat="1" ht="18" customHeight="1"/>
    <row r="102" s="617" customFormat="1" ht="18" customHeight="1"/>
    <row r="103" s="617" customFormat="1" ht="18" customHeight="1"/>
    <row r="104" s="617" customFormat="1" ht="18" customHeight="1"/>
    <row r="105" s="617" customFormat="1" ht="18" customHeight="1"/>
    <row r="106" s="617" customFormat="1" ht="18" customHeight="1"/>
    <row r="107" s="617" customFormat="1" ht="18" customHeight="1"/>
    <row r="108" s="617" customFormat="1" ht="18" customHeight="1"/>
    <row r="109" s="617" customFormat="1" ht="18" customHeight="1"/>
    <row r="110" s="617" customFormat="1" ht="18" customHeight="1"/>
  </sheetData>
  <customSheetViews>
    <customSheetView guid="{27EDC0A0-6243-11D3-9E8B-444553540000}" showRuler="0">
      <selection activeCell="C4" sqref="C4:C5"/>
      <pageMargins left="0" right="0" top="0" bottom="0" header="0.51181102362204722" footer="0.51181102362204722"/>
      <printOptions horizontalCentered="1" verticalCentered="1"/>
      <pageSetup paperSize="9" scale="125" orientation="landscape" horizontalDpi="300" verticalDpi="300" r:id="rId1"/>
      <headerFooter alignWithMargins="0"/>
    </customSheetView>
  </customSheetViews>
  <mergeCells count="7">
    <mergeCell ref="G11:G12"/>
    <mergeCell ref="H11:H12"/>
    <mergeCell ref="D13:E13"/>
    <mergeCell ref="D17:E17"/>
    <mergeCell ref="E1:F1"/>
    <mergeCell ref="E2:F2"/>
    <mergeCell ref="F11:F12"/>
  </mergeCells>
  <phoneticPr fontId="41" type="noConversion"/>
  <dataValidations xWindow="229" yWindow="308" count="1">
    <dataValidation type="list" showInputMessage="1" showErrorMessage="1" promptTitle="SEX" sqref="B9">
      <formula1>"MALE, FEMALE"</formula1>
    </dataValidation>
  </dataValidations>
  <printOptions horizontalCentered="1"/>
  <pageMargins left="0" right="0" top="0.59055118110236227" bottom="0" header="0.51181102362204722" footer="0.51181102362204722"/>
  <pageSetup paperSize="9" scale="125" orientation="portrait" r:id="rId2"/>
  <headerFooter alignWithMargins="0"/>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workbookViewId="0">
      <selection activeCell="B10" sqref="B10"/>
    </sheetView>
  </sheetViews>
  <sheetFormatPr defaultColWidth="9.140625" defaultRowHeight="24.95" customHeight="1"/>
  <cols>
    <col min="1" max="1" width="20.140625" style="595" customWidth="1"/>
    <col min="2" max="2" width="31.42578125" style="595" customWidth="1"/>
    <col min="3" max="3" width="56" style="639" customWidth="1"/>
    <col min="4" max="4" width="16.28515625" style="639" customWidth="1"/>
    <col min="5" max="5" width="9.85546875" style="595" customWidth="1"/>
    <col min="6" max="16384" width="9.140625" style="595"/>
  </cols>
  <sheetData>
    <row r="1" spans="1:5" ht="24.95" customHeight="1">
      <c r="A1" s="593" t="s">
        <v>1095</v>
      </c>
      <c r="B1" s="594" t="s">
        <v>1096</v>
      </c>
      <c r="C1" s="641" t="s">
        <v>1138</v>
      </c>
      <c r="D1" s="642">
        <v>960000</v>
      </c>
    </row>
    <row r="2" spans="1:5" ht="24.95" customHeight="1">
      <c r="A2" s="593" t="s">
        <v>1097</v>
      </c>
      <c r="B2" s="594" t="s">
        <v>1098</v>
      </c>
      <c r="C2" s="643" t="s">
        <v>1136</v>
      </c>
      <c r="D2" s="644">
        <v>89780</v>
      </c>
    </row>
    <row r="3" spans="1:5" ht="24.95" customHeight="1">
      <c r="A3" s="593" t="s">
        <v>1099</v>
      </c>
      <c r="B3" s="594" t="s">
        <v>1100</v>
      </c>
      <c r="C3" s="645" t="s">
        <v>1137</v>
      </c>
      <c r="D3" s="644">
        <v>40000</v>
      </c>
    </row>
    <row r="4" spans="1:5" ht="24.95" customHeight="1">
      <c r="A4" s="593" t="s">
        <v>1101</v>
      </c>
      <c r="B4" s="596">
        <v>31022</v>
      </c>
      <c r="C4" s="645" t="s">
        <v>1102</v>
      </c>
      <c r="D4" s="644">
        <v>120000</v>
      </c>
    </row>
    <row r="5" spans="1:5" ht="24.95" customHeight="1">
      <c r="A5" s="593" t="s">
        <v>1103</v>
      </c>
      <c r="B5" s="594" t="s">
        <v>1104</v>
      </c>
      <c r="C5" s="646"/>
      <c r="D5" s="647"/>
    </row>
    <row r="6" spans="1:5" ht="24.95" customHeight="1">
      <c r="A6" s="593"/>
      <c r="B6" s="594" t="s">
        <v>1105</v>
      </c>
      <c r="C6" s="645" t="s">
        <v>1139</v>
      </c>
      <c r="D6" s="644">
        <v>240000</v>
      </c>
    </row>
    <row r="7" spans="1:5" ht="24.95" customHeight="1">
      <c r="A7" s="593" t="s">
        <v>1106</v>
      </c>
      <c r="B7" s="594">
        <v>9811116835</v>
      </c>
      <c r="C7" s="648" t="s">
        <v>1107</v>
      </c>
      <c r="D7" s="644">
        <v>20000</v>
      </c>
    </row>
    <row r="8" spans="1:5" ht="24.95" customHeight="1">
      <c r="A8" s="593" t="s">
        <v>1108</v>
      </c>
      <c r="B8" s="594" t="s">
        <v>1109</v>
      </c>
      <c r="C8" s="648" t="s">
        <v>1140</v>
      </c>
      <c r="D8" s="644">
        <v>210000</v>
      </c>
    </row>
    <row r="9" spans="1:5" ht="24.95" customHeight="1">
      <c r="A9" s="593" t="s">
        <v>1110</v>
      </c>
      <c r="B9" s="594" t="s">
        <v>1111</v>
      </c>
      <c r="C9" s="648" t="s">
        <v>1141</v>
      </c>
      <c r="D9" s="649">
        <v>0.1</v>
      </c>
    </row>
    <row r="10" spans="1:5" ht="24.95" customHeight="1">
      <c r="C10" s="646"/>
      <c r="D10" s="647"/>
    </row>
    <row r="11" spans="1:5" ht="24.95" customHeight="1">
      <c r="C11" s="645" t="s">
        <v>1142</v>
      </c>
      <c r="D11" s="644">
        <v>15000</v>
      </c>
    </row>
    <row r="12" spans="1:5" ht="24.95" customHeight="1">
      <c r="A12" s="598"/>
      <c r="C12" s="645" t="s">
        <v>1143</v>
      </c>
      <c r="D12" s="644">
        <v>42000</v>
      </c>
    </row>
    <row r="13" spans="1:5" ht="24.95" customHeight="1">
      <c r="A13" s="598"/>
      <c r="C13" s="645" t="s">
        <v>1144</v>
      </c>
      <c r="D13" s="644">
        <v>20000</v>
      </c>
      <c r="E13" s="597"/>
    </row>
    <row r="14" spans="1:5" ht="24.95" customHeight="1" thickBot="1">
      <c r="A14" s="599"/>
      <c r="C14" s="650"/>
      <c r="D14" s="651" t="s">
        <v>1145</v>
      </c>
    </row>
    <row r="15" spans="1:5" ht="24.95" customHeight="1">
      <c r="A15" s="599"/>
      <c r="D15" s="640"/>
    </row>
    <row r="16" spans="1:5" ht="24.95" customHeight="1" thickBot="1">
      <c r="A16" s="599"/>
    </row>
    <row r="17" spans="1:4" ht="24.95" customHeight="1">
      <c r="A17" s="599"/>
      <c r="C17" s="641" t="s">
        <v>1138</v>
      </c>
      <c r="D17" s="642">
        <v>960000</v>
      </c>
    </row>
    <row r="18" spans="1:4" ht="24.95" customHeight="1">
      <c r="A18" s="599"/>
      <c r="C18" s="643" t="s">
        <v>1136</v>
      </c>
      <c r="D18" s="644">
        <v>89780</v>
      </c>
    </row>
    <row r="19" spans="1:4" ht="24.95" customHeight="1">
      <c r="B19" s="598"/>
      <c r="C19" s="645" t="s">
        <v>1137</v>
      </c>
      <c r="D19" s="644">
        <v>40000</v>
      </c>
    </row>
    <row r="20" spans="1:4" ht="24.95" customHeight="1">
      <c r="C20" s="645" t="s">
        <v>1102</v>
      </c>
      <c r="D20" s="644">
        <v>120000</v>
      </c>
    </row>
    <row r="21" spans="1:4" ht="24.95" customHeight="1">
      <c r="C21" s="646"/>
      <c r="D21" s="647"/>
    </row>
    <row r="22" spans="1:4" ht="24.95" customHeight="1">
      <c r="C22" s="645" t="s">
        <v>1139</v>
      </c>
      <c r="D22" s="644">
        <v>240000</v>
      </c>
    </row>
    <row r="23" spans="1:4" ht="24.95" customHeight="1">
      <c r="C23" s="648" t="s">
        <v>1107</v>
      </c>
      <c r="D23" s="644">
        <v>20000</v>
      </c>
    </row>
    <row r="24" spans="1:4" ht="24.95" customHeight="1">
      <c r="C24" s="648" t="s">
        <v>1140</v>
      </c>
      <c r="D24" s="644">
        <v>210000</v>
      </c>
    </row>
    <row r="25" spans="1:4" ht="24.95" customHeight="1">
      <c r="C25" s="648" t="s">
        <v>1141</v>
      </c>
      <c r="D25" s="649">
        <v>0.1</v>
      </c>
    </row>
    <row r="26" spans="1:4" ht="24.95" customHeight="1">
      <c r="C26" s="646"/>
      <c r="D26" s="647"/>
    </row>
    <row r="27" spans="1:4" ht="24.95" customHeight="1">
      <c r="C27" s="645" t="s">
        <v>1142</v>
      </c>
      <c r="D27" s="644">
        <v>15000</v>
      </c>
    </row>
    <row r="28" spans="1:4" ht="24.95" customHeight="1">
      <c r="C28" s="645" t="s">
        <v>1143</v>
      </c>
      <c r="D28" s="644">
        <v>42000</v>
      </c>
    </row>
    <row r="29" spans="1:4" ht="24.95" customHeight="1">
      <c r="C29" s="645" t="s">
        <v>1144</v>
      </c>
      <c r="D29" s="644">
        <v>20000</v>
      </c>
    </row>
    <row r="30" spans="1:4" ht="24.95" customHeight="1" thickBot="1">
      <c r="C30" s="650"/>
      <c r="D30" s="651" t="s">
        <v>1145</v>
      </c>
    </row>
  </sheetData>
  <printOptions horizontalCentered="1" verticalCentered="1"/>
  <pageMargins left="0.31496062992125984" right="0.31496062992125984" top="0.35433070866141736"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2"/>
  <sheetViews>
    <sheetView workbookViewId="0">
      <selection activeCell="F32" sqref="F32"/>
    </sheetView>
  </sheetViews>
  <sheetFormatPr defaultColWidth="9.140625" defaultRowHeight="18.75"/>
  <cols>
    <col min="1" max="1" width="8.5703125" style="722" customWidth="1"/>
    <col min="2" max="2" width="31.5703125" style="746" customWidth="1"/>
    <col min="3" max="3" width="40.5703125" style="745" customWidth="1"/>
    <col min="4" max="4" width="18.28515625" style="722" customWidth="1"/>
    <col min="5" max="5" width="5.85546875" style="722" customWidth="1"/>
    <col min="6" max="6" width="45.42578125" style="746" customWidth="1"/>
    <col min="7" max="16384" width="9.140625" style="746"/>
  </cols>
  <sheetData>
    <row r="1" spans="1:4" ht="25.5" customHeight="1">
      <c r="A1" s="1107" t="s">
        <v>1295</v>
      </c>
      <c r="B1" s="1107"/>
      <c r="C1" s="1107"/>
      <c r="D1" s="1107"/>
    </row>
    <row r="2" spans="1:4">
      <c r="A2" s="723" t="s">
        <v>1296</v>
      </c>
      <c r="B2" s="724" t="s">
        <v>495</v>
      </c>
      <c r="C2" s="724" t="s">
        <v>1297</v>
      </c>
      <c r="D2" s="724" t="s">
        <v>1298</v>
      </c>
    </row>
    <row r="3" spans="1:4">
      <c r="A3" s="725">
        <v>1</v>
      </c>
      <c r="B3" s="726" t="s">
        <v>1299</v>
      </c>
      <c r="C3" s="726" t="s">
        <v>1300</v>
      </c>
      <c r="D3" s="727">
        <v>7499615156</v>
      </c>
    </row>
    <row r="4" spans="1:4">
      <c r="A4" s="725">
        <v>2</v>
      </c>
      <c r="B4" s="726" t="s">
        <v>1301</v>
      </c>
      <c r="C4" s="726" t="s">
        <v>1300</v>
      </c>
      <c r="D4" s="727">
        <v>9990062829</v>
      </c>
    </row>
    <row r="5" spans="1:4">
      <c r="A5" s="725">
        <v>3</v>
      </c>
      <c r="B5" s="728" t="s">
        <v>1302</v>
      </c>
      <c r="C5" s="728" t="s">
        <v>1303</v>
      </c>
      <c r="D5" s="725">
        <v>9810584769</v>
      </c>
    </row>
    <row r="6" spans="1:4">
      <c r="A6" s="725">
        <v>4</v>
      </c>
      <c r="B6" s="728" t="s">
        <v>1304</v>
      </c>
      <c r="C6" s="728" t="s">
        <v>1305</v>
      </c>
      <c r="D6" s="725">
        <v>9811976606</v>
      </c>
    </row>
    <row r="7" spans="1:4">
      <c r="A7" s="725">
        <v>5</v>
      </c>
      <c r="B7" s="729" t="s">
        <v>1306</v>
      </c>
      <c r="C7" s="729" t="s">
        <v>1307</v>
      </c>
      <c r="D7" s="730">
        <v>9891377550</v>
      </c>
    </row>
    <row r="8" spans="1:4">
      <c r="A8" s="725">
        <v>6</v>
      </c>
      <c r="B8" s="729" t="s">
        <v>1308</v>
      </c>
      <c r="C8" s="729" t="s">
        <v>1307</v>
      </c>
      <c r="D8" s="730">
        <v>9873362973</v>
      </c>
    </row>
    <row r="9" spans="1:4">
      <c r="A9" s="725">
        <v>7</v>
      </c>
      <c r="B9" s="728" t="s">
        <v>1309</v>
      </c>
      <c r="C9" s="728" t="s">
        <v>1310</v>
      </c>
      <c r="D9" s="725">
        <v>9871059131</v>
      </c>
    </row>
    <row r="10" spans="1:4">
      <c r="A10" s="725">
        <v>8</v>
      </c>
      <c r="B10" s="728" t="s">
        <v>1311</v>
      </c>
      <c r="C10" s="728" t="s">
        <v>1312</v>
      </c>
      <c r="D10" s="725">
        <v>9811080813</v>
      </c>
    </row>
    <row r="11" spans="1:4">
      <c r="A11" s="725">
        <v>9</v>
      </c>
      <c r="B11" s="728" t="s">
        <v>1313</v>
      </c>
      <c r="C11" s="728" t="s">
        <v>1314</v>
      </c>
      <c r="D11" s="725">
        <v>9871024224</v>
      </c>
    </row>
    <row r="12" spans="1:4">
      <c r="A12" s="725">
        <v>10</v>
      </c>
      <c r="B12" s="728" t="s">
        <v>1315</v>
      </c>
      <c r="C12" s="728" t="s">
        <v>1316</v>
      </c>
      <c r="D12" s="725">
        <v>9953031252</v>
      </c>
    </row>
    <row r="13" spans="1:4">
      <c r="A13" s="725">
        <v>11</v>
      </c>
      <c r="B13" s="728" t="s">
        <v>1317</v>
      </c>
      <c r="C13" s="728" t="s">
        <v>1318</v>
      </c>
      <c r="D13" s="725">
        <v>7838872724</v>
      </c>
    </row>
    <row r="14" spans="1:4">
      <c r="A14" s="725">
        <v>12</v>
      </c>
      <c r="B14" s="731" t="s">
        <v>1319</v>
      </c>
      <c r="C14" s="731" t="s">
        <v>1320</v>
      </c>
      <c r="D14" s="732">
        <v>9711597744</v>
      </c>
    </row>
    <row r="15" spans="1:4">
      <c r="A15" s="725">
        <v>13</v>
      </c>
      <c r="B15" s="731" t="s">
        <v>1321</v>
      </c>
      <c r="C15" s="731" t="s">
        <v>1320</v>
      </c>
      <c r="D15" s="732">
        <v>8743965693</v>
      </c>
    </row>
    <row r="16" spans="1:4">
      <c r="A16" s="725">
        <v>14</v>
      </c>
      <c r="B16" s="728" t="s">
        <v>1322</v>
      </c>
      <c r="C16" s="728" t="s">
        <v>1323</v>
      </c>
      <c r="D16" s="725">
        <v>9560215607</v>
      </c>
    </row>
    <row r="17" spans="1:4">
      <c r="A17" s="725">
        <v>15</v>
      </c>
      <c r="B17" s="733" t="s">
        <v>1324</v>
      </c>
      <c r="C17" s="733" t="s">
        <v>1325</v>
      </c>
      <c r="D17" s="734">
        <v>9810852186</v>
      </c>
    </row>
    <row r="18" spans="1:4">
      <c r="A18" s="725">
        <v>16</v>
      </c>
      <c r="B18" s="733" t="s">
        <v>1326</v>
      </c>
      <c r="C18" s="733" t="s">
        <v>1325</v>
      </c>
      <c r="D18" s="734">
        <v>9711937734</v>
      </c>
    </row>
    <row r="19" spans="1:4">
      <c r="A19" s="725">
        <v>17</v>
      </c>
      <c r="B19" s="728" t="s">
        <v>1327</v>
      </c>
      <c r="C19" s="728" t="s">
        <v>1328</v>
      </c>
      <c r="D19" s="725">
        <v>8285605233</v>
      </c>
    </row>
    <row r="20" spans="1:4">
      <c r="A20" s="725">
        <v>18</v>
      </c>
      <c r="B20" s="728" t="s">
        <v>1329</v>
      </c>
      <c r="C20" s="728" t="s">
        <v>1330</v>
      </c>
      <c r="D20" s="725">
        <v>9313332958</v>
      </c>
    </row>
    <row r="21" spans="1:4">
      <c r="A21" s="725">
        <v>19</v>
      </c>
      <c r="B21" s="728" t="s">
        <v>1331</v>
      </c>
      <c r="C21" s="728" t="s">
        <v>1332</v>
      </c>
      <c r="D21" s="725">
        <v>9582008892</v>
      </c>
    </row>
    <row r="22" spans="1:4">
      <c r="A22" s="725">
        <v>20</v>
      </c>
      <c r="B22" s="728" t="s">
        <v>1333</v>
      </c>
      <c r="C22" s="728" t="s">
        <v>1334</v>
      </c>
      <c r="D22" s="725">
        <v>9717493185</v>
      </c>
    </row>
    <row r="23" spans="1:4">
      <c r="A23" s="725">
        <v>21</v>
      </c>
      <c r="B23" s="735" t="s">
        <v>1335</v>
      </c>
      <c r="C23" s="735" t="s">
        <v>1336</v>
      </c>
      <c r="D23" s="736">
        <v>9911001613</v>
      </c>
    </row>
    <row r="24" spans="1:4">
      <c r="A24" s="725">
        <v>22</v>
      </c>
      <c r="B24" s="735" t="s">
        <v>1337</v>
      </c>
      <c r="C24" s="735" t="s">
        <v>1336</v>
      </c>
      <c r="D24" s="736">
        <v>9891088599</v>
      </c>
    </row>
    <row r="25" spans="1:4">
      <c r="A25" s="725">
        <v>23</v>
      </c>
      <c r="B25" s="731" t="s">
        <v>1338</v>
      </c>
      <c r="C25" s="731" t="s">
        <v>1339</v>
      </c>
      <c r="D25" s="732">
        <v>9811116835</v>
      </c>
    </row>
    <row r="26" spans="1:4">
      <c r="A26" s="725">
        <v>24</v>
      </c>
      <c r="B26" s="731" t="s">
        <v>1340</v>
      </c>
      <c r="C26" s="731" t="s">
        <v>1339</v>
      </c>
      <c r="D26" s="732">
        <v>8447610144</v>
      </c>
    </row>
    <row r="27" spans="1:4">
      <c r="A27" s="725">
        <v>25</v>
      </c>
      <c r="B27" s="729" t="s">
        <v>1341</v>
      </c>
      <c r="C27" s="729" t="s">
        <v>1342</v>
      </c>
      <c r="D27" s="730">
        <v>9560070924</v>
      </c>
    </row>
    <row r="28" spans="1:4">
      <c r="A28" s="725">
        <v>26</v>
      </c>
      <c r="B28" s="729" t="s">
        <v>1343</v>
      </c>
      <c r="C28" s="729" t="s">
        <v>1342</v>
      </c>
      <c r="D28" s="730">
        <v>9911946878</v>
      </c>
    </row>
    <row r="29" spans="1:4">
      <c r="A29" s="725">
        <v>27</v>
      </c>
      <c r="B29" s="737" t="s">
        <v>1344</v>
      </c>
      <c r="C29" s="737" t="s">
        <v>1345</v>
      </c>
      <c r="D29" s="738">
        <v>8750227675</v>
      </c>
    </row>
    <row r="30" spans="1:4">
      <c r="A30" s="725">
        <v>28</v>
      </c>
      <c r="B30" s="737" t="s">
        <v>1346</v>
      </c>
      <c r="C30" s="737" t="s">
        <v>1345</v>
      </c>
      <c r="D30" s="738">
        <v>9650916189</v>
      </c>
    </row>
    <row r="31" spans="1:4">
      <c r="A31" s="725">
        <v>29</v>
      </c>
      <c r="B31" s="739" t="s">
        <v>1347</v>
      </c>
      <c r="C31" s="739" t="s">
        <v>1348</v>
      </c>
      <c r="D31" s="740">
        <v>9711482693</v>
      </c>
    </row>
    <row r="32" spans="1:4">
      <c r="A32" s="725">
        <v>30</v>
      </c>
      <c r="B32" s="739" t="s">
        <v>1349</v>
      </c>
      <c r="C32" s="739" t="s">
        <v>1348</v>
      </c>
      <c r="D32" s="740">
        <v>9811550775</v>
      </c>
    </row>
    <row r="33" spans="1:4">
      <c r="A33" s="725">
        <v>31</v>
      </c>
      <c r="B33" s="739" t="s">
        <v>1350</v>
      </c>
      <c r="C33" s="739" t="s">
        <v>1348</v>
      </c>
      <c r="D33" s="740">
        <v>9811525676</v>
      </c>
    </row>
    <row r="34" spans="1:4">
      <c r="A34" s="725">
        <v>32</v>
      </c>
      <c r="B34" s="739" t="s">
        <v>1351</v>
      </c>
      <c r="C34" s="739" t="s">
        <v>1348</v>
      </c>
      <c r="D34" s="740">
        <v>9560809220</v>
      </c>
    </row>
    <row r="35" spans="1:4">
      <c r="A35" s="725">
        <v>33</v>
      </c>
      <c r="B35" s="728" t="s">
        <v>1352</v>
      </c>
      <c r="C35" s="728" t="s">
        <v>1353</v>
      </c>
      <c r="D35" s="725">
        <v>9811012106</v>
      </c>
    </row>
    <row r="36" spans="1:4">
      <c r="A36" s="725">
        <v>34</v>
      </c>
      <c r="B36" s="733" t="s">
        <v>1354</v>
      </c>
      <c r="C36" s="733" t="s">
        <v>1355</v>
      </c>
      <c r="D36" s="734">
        <v>9810814115</v>
      </c>
    </row>
    <row r="37" spans="1:4">
      <c r="A37" s="725">
        <v>35</v>
      </c>
      <c r="B37" s="733" t="s">
        <v>1356</v>
      </c>
      <c r="C37" s="733" t="s">
        <v>1355</v>
      </c>
      <c r="D37" s="734">
        <v>9899124166</v>
      </c>
    </row>
    <row r="38" spans="1:4">
      <c r="A38" s="725">
        <v>36</v>
      </c>
      <c r="B38" s="728" t="s">
        <v>1357</v>
      </c>
      <c r="C38" s="728"/>
      <c r="D38" s="725">
        <v>9818309510</v>
      </c>
    </row>
    <row r="39" spans="1:4">
      <c r="A39" s="725">
        <v>37</v>
      </c>
      <c r="B39" s="728" t="s">
        <v>1358</v>
      </c>
      <c r="C39" s="728"/>
      <c r="D39" s="725">
        <v>9999163108</v>
      </c>
    </row>
    <row r="40" spans="1:4">
      <c r="A40" s="741"/>
      <c r="B40" s="742"/>
      <c r="C40" s="743"/>
      <c r="D40" s="744" t="s">
        <v>1359</v>
      </c>
    </row>
    <row r="41" spans="1:4">
      <c r="B41" s="745" t="s">
        <v>1360</v>
      </c>
      <c r="C41" s="745" t="s">
        <v>1361</v>
      </c>
      <c r="D41" s="722">
        <v>9311017600</v>
      </c>
    </row>
    <row r="42" spans="1:4">
      <c r="B42" s="745" t="s">
        <v>1362</v>
      </c>
      <c r="C42" s="745" t="s">
        <v>1361</v>
      </c>
      <c r="D42" s="722">
        <v>9899177358</v>
      </c>
    </row>
  </sheetData>
  <mergeCells count="1">
    <mergeCell ref="A1:D1"/>
  </mergeCells>
  <pageMargins left="0.19685039370078741" right="0.31496062992125984" top="0.35433070866141736" bottom="0.39370078740157483" header="0" footer="0"/>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P83"/>
  <sheetViews>
    <sheetView showZeros="0"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9.42578125" style="416" customWidth="1"/>
    <col min="8" max="8" width="11.140625" style="416" customWidth="1"/>
    <col min="9" max="9" width="4.28515625" style="526" customWidth="1"/>
    <col min="10" max="10" width="1.85546875" style="476" customWidth="1"/>
    <col min="11" max="13" width="9.140625" style="416"/>
    <col min="14" max="14" width="6.5703125" style="416" customWidth="1"/>
    <col min="15" max="16384" width="9.140625" style="416"/>
  </cols>
  <sheetData>
    <row r="1" spans="1:14" s="413" customFormat="1" ht="18.75" customHeight="1">
      <c r="A1" s="1108" t="s">
        <v>1083</v>
      </c>
      <c r="B1" s="1109"/>
      <c r="C1" s="1109"/>
      <c r="D1" s="1109"/>
      <c r="E1" s="1109"/>
      <c r="F1" s="1109"/>
      <c r="G1" s="1109"/>
      <c r="H1" s="1109"/>
      <c r="I1" s="1109"/>
      <c r="J1" s="1110"/>
      <c r="K1" s="412"/>
      <c r="L1" s="412"/>
    </row>
    <row r="2" spans="1:14" ht="18" customHeight="1" thickBot="1">
      <c r="A2" s="1111" t="s">
        <v>562</v>
      </c>
      <c r="B2" s="1112"/>
      <c r="C2" s="1112"/>
      <c r="D2" s="1112"/>
      <c r="E2" s="1112"/>
      <c r="F2" s="1112"/>
      <c r="G2" s="1112"/>
      <c r="H2" s="1112"/>
      <c r="I2" s="1112"/>
      <c r="J2" s="1113"/>
      <c r="K2" s="415"/>
      <c r="L2" s="415"/>
    </row>
    <row r="3" spans="1:14" ht="20.100000000000001" customHeight="1">
      <c r="A3" s="417"/>
      <c r="B3" s="418" t="s">
        <v>994</v>
      </c>
      <c r="C3" s="419"/>
      <c r="D3" s="419"/>
      <c r="E3" s="419"/>
      <c r="F3" s="419"/>
      <c r="G3" s="419"/>
      <c r="H3" s="501" t="s">
        <v>1013</v>
      </c>
      <c r="I3" s="535"/>
      <c r="J3" s="470"/>
      <c r="K3" s="415"/>
      <c r="L3" s="415"/>
    </row>
    <row r="4" spans="1:14" ht="15" customHeight="1">
      <c r="A4" s="420"/>
      <c r="B4" s="421"/>
      <c r="C4" s="422" t="s">
        <v>1082</v>
      </c>
      <c r="D4" s="422"/>
      <c r="E4" s="415"/>
      <c r="F4" s="423"/>
      <c r="G4" s="411">
        <v>960000</v>
      </c>
      <c r="H4" s="482"/>
      <c r="I4" s="536"/>
      <c r="J4" s="471"/>
      <c r="K4" s="415"/>
      <c r="L4" s="415"/>
    </row>
    <row r="5" spans="1:14" ht="15" customHeight="1">
      <c r="A5" s="420"/>
      <c r="B5" s="415"/>
      <c r="C5" s="408" t="s">
        <v>848</v>
      </c>
      <c r="D5" s="415"/>
      <c r="E5" s="415"/>
      <c r="F5" s="415"/>
      <c r="G5" s="425">
        <v>19200</v>
      </c>
      <c r="H5" s="482">
        <f>G4-G5</f>
        <v>940800</v>
      </c>
      <c r="I5" s="537">
        <f>IF(H5&lt;&gt;0,0,"NIL")</f>
        <v>0</v>
      </c>
      <c r="J5" s="472"/>
      <c r="K5" s="415" t="s">
        <v>1133</v>
      </c>
      <c r="L5" s="415">
        <v>960000</v>
      </c>
    </row>
    <row r="6" spans="1:14" ht="15" customHeight="1">
      <c r="A6" s="420"/>
      <c r="B6" s="426" t="s">
        <v>995</v>
      </c>
      <c r="C6" s="415"/>
      <c r="D6" s="415"/>
      <c r="E6" s="525" t="s">
        <v>1014</v>
      </c>
      <c r="F6" s="423"/>
      <c r="G6" s="415"/>
      <c r="H6" s="482"/>
      <c r="I6" s="537"/>
      <c r="J6" s="472"/>
      <c r="K6" s="415" t="s">
        <v>46</v>
      </c>
      <c r="L6" s="415">
        <v>240000</v>
      </c>
    </row>
    <row r="7" spans="1:14" ht="15" customHeight="1">
      <c r="A7" s="420"/>
      <c r="B7" s="415"/>
      <c r="C7" s="583" t="s">
        <v>1127</v>
      </c>
      <c r="D7" s="422"/>
      <c r="E7" s="427"/>
      <c r="F7" s="428"/>
      <c r="G7" s="411">
        <v>240000</v>
      </c>
      <c r="H7" s="482"/>
      <c r="I7" s="537"/>
      <c r="J7" s="472"/>
      <c r="K7" s="415" t="s">
        <v>1134</v>
      </c>
      <c r="L7" s="415">
        <v>312000</v>
      </c>
      <c r="M7" s="415"/>
    </row>
    <row r="8" spans="1:14" ht="15" customHeight="1">
      <c r="A8" s="420"/>
      <c r="B8" s="415"/>
      <c r="C8" s="408" t="s">
        <v>769</v>
      </c>
      <c r="D8" s="415"/>
      <c r="E8" s="415"/>
      <c r="F8" s="415"/>
      <c r="G8" s="479">
        <v>20000</v>
      </c>
      <c r="H8" s="482"/>
      <c r="I8" s="537"/>
      <c r="J8" s="472"/>
      <c r="K8" s="415" t="s">
        <v>1135</v>
      </c>
      <c r="L8" s="637">
        <f>SUM(L5:L7)</f>
        <v>1512000</v>
      </c>
      <c r="M8" s="416">
        <v>148780</v>
      </c>
      <c r="N8" s="638">
        <f>M8/L8</f>
        <v>9.8399470899470903E-2</v>
      </c>
    </row>
    <row r="9" spans="1:14" ht="15" customHeight="1">
      <c r="A9" s="420"/>
      <c r="B9" s="415"/>
      <c r="C9" s="408"/>
      <c r="D9" s="415"/>
      <c r="E9" s="415"/>
      <c r="F9" s="415"/>
      <c r="G9" s="423">
        <f>IF((G7-G8)&lt;0,0,(G7-G8))</f>
        <v>220000</v>
      </c>
      <c r="H9" s="482"/>
      <c r="I9" s="537"/>
      <c r="J9" s="472"/>
      <c r="K9" s="415"/>
      <c r="L9" s="415"/>
    </row>
    <row r="10" spans="1:14" ht="15" customHeight="1">
      <c r="A10" s="420"/>
      <c r="B10" s="415"/>
      <c r="C10" s="590" t="s">
        <v>514</v>
      </c>
      <c r="D10" s="415"/>
      <c r="E10" s="415" t="s">
        <v>1093</v>
      </c>
      <c r="F10" s="415">
        <f>G9*0.3</f>
        <v>66000</v>
      </c>
      <c r="G10" s="423"/>
      <c r="H10" s="482"/>
      <c r="I10" s="537"/>
      <c r="J10" s="472"/>
      <c r="K10" s="415"/>
      <c r="L10" s="415"/>
    </row>
    <row r="11" spans="1:14" ht="15" customHeight="1">
      <c r="A11" s="420"/>
      <c r="B11" s="415"/>
      <c r="D11" s="415"/>
      <c r="E11" s="409" t="s">
        <v>1094</v>
      </c>
      <c r="F11" s="591">
        <v>210000</v>
      </c>
      <c r="G11" s="592">
        <f>F10+F11</f>
        <v>276000</v>
      </c>
      <c r="H11" s="482">
        <f>G9-G11</f>
        <v>-56000</v>
      </c>
      <c r="I11" s="537">
        <f>IF(H11&lt;&gt;0,0,"NIL")</f>
        <v>0</v>
      </c>
      <c r="J11" s="472"/>
      <c r="K11" s="415"/>
      <c r="L11" s="415"/>
    </row>
    <row r="12" spans="1:14" ht="17.25" hidden="1" customHeight="1">
      <c r="A12" s="420"/>
      <c r="B12" s="421" t="s">
        <v>996</v>
      </c>
      <c r="C12" s="408"/>
      <c r="D12" s="415"/>
      <c r="E12" s="429"/>
      <c r="F12" s="423"/>
      <c r="G12" s="415"/>
      <c r="H12" s="482"/>
      <c r="I12" s="537"/>
      <c r="J12" s="472"/>
      <c r="K12" s="415"/>
      <c r="L12" s="415"/>
    </row>
    <row r="13" spans="1:14" ht="15" hidden="1" customHeight="1">
      <c r="A13" s="420"/>
      <c r="B13" s="415"/>
      <c r="C13" s="408" t="s">
        <v>991</v>
      </c>
      <c r="D13" s="415"/>
      <c r="E13" s="429"/>
      <c r="F13" s="423"/>
      <c r="G13" s="411"/>
      <c r="H13" s="482"/>
      <c r="I13" s="537"/>
      <c r="J13" s="472"/>
      <c r="K13" s="415"/>
      <c r="L13" s="415"/>
    </row>
    <row r="14" spans="1:14" ht="15" hidden="1" customHeight="1">
      <c r="A14" s="420"/>
      <c r="B14" s="415"/>
      <c r="C14" s="408" t="s">
        <v>992</v>
      </c>
      <c r="D14" s="415"/>
      <c r="E14" s="429"/>
      <c r="F14" s="423"/>
      <c r="G14" s="479"/>
      <c r="H14" s="483">
        <f>G13-G14</f>
        <v>0</v>
      </c>
      <c r="I14" s="537" t="str">
        <f>IF(H14&lt;&gt;0,0,"NIL")</f>
        <v>NIL</v>
      </c>
      <c r="J14" s="472"/>
      <c r="K14" s="415"/>
      <c r="L14" s="415"/>
    </row>
    <row r="15" spans="1:14" ht="15" customHeight="1">
      <c r="A15" s="420"/>
      <c r="B15" s="421" t="s">
        <v>997</v>
      </c>
      <c r="C15" s="415"/>
      <c r="D15" s="415"/>
      <c r="E15" s="415"/>
      <c r="F15" s="415"/>
      <c r="G15" s="415"/>
      <c r="H15" s="482"/>
      <c r="I15" s="537"/>
      <c r="J15" s="472"/>
      <c r="K15" s="415"/>
      <c r="L15" s="415"/>
    </row>
    <row r="16" spans="1:14">
      <c r="A16" s="420"/>
      <c r="B16" s="415"/>
      <c r="C16" s="408" t="s">
        <v>498</v>
      </c>
      <c r="D16" s="415"/>
      <c r="E16" s="415"/>
      <c r="F16" s="415"/>
      <c r="G16" s="411"/>
      <c r="H16" s="482"/>
      <c r="I16" s="537"/>
      <c r="J16" s="472"/>
      <c r="K16" s="415"/>
      <c r="L16" s="415"/>
    </row>
    <row r="17" spans="1:12">
      <c r="A17" s="420"/>
      <c r="B17" s="415"/>
      <c r="C17" s="408" t="s">
        <v>77</v>
      </c>
      <c r="D17" s="415"/>
      <c r="E17" s="415"/>
      <c r="F17" s="415"/>
      <c r="G17" s="479"/>
      <c r="H17" s="482">
        <f>G16+G17</f>
        <v>0</v>
      </c>
      <c r="I17" s="537" t="str">
        <f>IF(H17&lt;&gt;0,0,"NIL")</f>
        <v>NIL</v>
      </c>
      <c r="J17" s="472"/>
      <c r="K17" s="415"/>
      <c r="L17" s="415"/>
    </row>
    <row r="18" spans="1:12" ht="20.100000000000001" customHeight="1">
      <c r="A18" s="420"/>
      <c r="B18" s="421" t="s">
        <v>998</v>
      </c>
      <c r="C18" s="415"/>
      <c r="D18" s="415"/>
      <c r="E18" s="415"/>
      <c r="F18" s="415"/>
      <c r="G18" s="415"/>
      <c r="H18" s="482"/>
      <c r="I18" s="536"/>
      <c r="J18" s="471"/>
      <c r="K18" s="415"/>
      <c r="L18" s="415"/>
    </row>
    <row r="19" spans="1:12" ht="13.5">
      <c r="A19" s="420"/>
      <c r="B19" s="636">
        <v>1050000</v>
      </c>
      <c r="C19" s="431" t="s">
        <v>1132</v>
      </c>
      <c r="D19" s="431"/>
      <c r="E19" s="431"/>
      <c r="F19" s="415"/>
      <c r="G19" s="411">
        <v>42000</v>
      </c>
      <c r="H19" s="482"/>
      <c r="I19" s="536"/>
      <c r="J19" s="471"/>
      <c r="K19" s="415"/>
      <c r="L19" s="415"/>
    </row>
    <row r="20" spans="1:12" ht="13.5">
      <c r="A20" s="420"/>
      <c r="B20" s="636">
        <v>1800000</v>
      </c>
      <c r="C20" s="431" t="s">
        <v>1131</v>
      </c>
      <c r="D20" s="431"/>
      <c r="E20" s="431"/>
      <c r="F20" s="408"/>
      <c r="G20" s="411">
        <v>150000</v>
      </c>
      <c r="H20" s="482"/>
      <c r="I20" s="536"/>
      <c r="J20" s="471"/>
      <c r="K20" s="415"/>
      <c r="L20" s="415"/>
    </row>
    <row r="21" spans="1:12" ht="13.5">
      <c r="A21" s="420"/>
      <c r="B21" s="589"/>
      <c r="C21" s="431" t="s">
        <v>1125</v>
      </c>
      <c r="D21" s="431"/>
      <c r="E21" s="431"/>
      <c r="F21" s="431"/>
      <c r="G21" s="462">
        <v>120000</v>
      </c>
      <c r="H21" s="482"/>
      <c r="I21" s="536"/>
      <c r="J21" s="471"/>
      <c r="K21" s="415"/>
      <c r="L21" s="415"/>
    </row>
    <row r="22" spans="1:12" ht="15" customHeight="1">
      <c r="A22" s="420"/>
      <c r="B22" s="589"/>
      <c r="C22" s="431"/>
      <c r="D22" s="434"/>
      <c r="E22" s="433"/>
      <c r="F22" s="433"/>
      <c r="G22" s="480">
        <f>SUM(G19:G21)</f>
        <v>312000</v>
      </c>
      <c r="H22" s="482"/>
      <c r="I22" s="536"/>
      <c r="J22" s="471"/>
      <c r="K22" s="415"/>
      <c r="L22" s="415"/>
    </row>
    <row r="23" spans="1:12" ht="15" hidden="1" customHeight="1">
      <c r="A23" s="420"/>
      <c r="B23" s="589"/>
      <c r="C23" s="435" t="s">
        <v>512</v>
      </c>
      <c r="D23" s="436"/>
      <c r="E23" s="436"/>
      <c r="F23" s="436"/>
      <c r="G23" s="437"/>
      <c r="H23" s="482"/>
      <c r="I23" s="536"/>
      <c r="J23" s="471"/>
      <c r="K23" s="415"/>
      <c r="L23" s="415"/>
    </row>
    <row r="24" spans="1:12" ht="15" hidden="1" customHeight="1">
      <c r="A24" s="420"/>
      <c r="B24" s="589"/>
      <c r="G24" s="410"/>
      <c r="H24" s="482"/>
      <c r="I24" s="536"/>
      <c r="J24" s="471"/>
      <c r="K24" s="415"/>
      <c r="L24" s="415"/>
    </row>
    <row r="25" spans="1:12" ht="15" hidden="1" customHeight="1">
      <c r="A25" s="420"/>
      <c r="B25" s="589"/>
      <c r="G25" s="410"/>
      <c r="H25" s="482"/>
      <c r="I25" s="536"/>
      <c r="J25" s="471"/>
      <c r="K25" s="415"/>
      <c r="L25" s="415"/>
    </row>
    <row r="26" spans="1:12" ht="15" hidden="1" customHeight="1">
      <c r="A26" s="420"/>
      <c r="B26" s="589"/>
      <c r="C26" s="436" t="s">
        <v>846</v>
      </c>
      <c r="D26" s="436"/>
      <c r="E26" s="415"/>
      <c r="F26" s="438"/>
      <c r="G26" s="437"/>
      <c r="H26" s="482"/>
      <c r="I26" s="536"/>
      <c r="J26" s="471"/>
      <c r="K26" s="415"/>
      <c r="L26" s="415"/>
    </row>
    <row r="27" spans="1:12" ht="15" hidden="1" customHeight="1">
      <c r="A27" s="420"/>
      <c r="B27" s="589"/>
      <c r="C27" s="432" t="s">
        <v>847</v>
      </c>
      <c r="D27" s="415"/>
      <c r="E27" s="415"/>
      <c r="F27" s="461">
        <f>ROUND(IF(F26/3&gt;15000,15000,F26/3),0)</f>
        <v>0</v>
      </c>
      <c r="G27" s="447">
        <f>F26-F27</f>
        <v>0</v>
      </c>
      <c r="H27" s="482"/>
      <c r="I27" s="536"/>
      <c r="J27" s="471"/>
      <c r="K27" s="415"/>
      <c r="L27" s="415"/>
    </row>
    <row r="28" spans="1:12" ht="15" hidden="1" customHeight="1">
      <c r="A28" s="420"/>
      <c r="B28" s="589"/>
      <c r="C28" s="415"/>
      <c r="D28" s="415"/>
      <c r="E28" s="415"/>
      <c r="F28" s="415"/>
      <c r="G28" s="480">
        <f>SUM(G24:G27)</f>
        <v>0</v>
      </c>
      <c r="H28" s="484"/>
      <c r="J28" s="472"/>
      <c r="K28" s="415"/>
      <c r="L28" s="415"/>
    </row>
    <row r="29" spans="1:12" ht="15" customHeight="1">
      <c r="A29" s="420"/>
      <c r="B29" s="589"/>
      <c r="C29" s="415"/>
      <c r="D29" s="415"/>
      <c r="E29" s="415"/>
      <c r="F29" s="415"/>
      <c r="G29" s="437"/>
      <c r="H29" s="482">
        <f>G22+G28</f>
        <v>312000</v>
      </c>
      <c r="I29" s="537">
        <f>IF(H29&lt;&gt;0,0,"NIL")</f>
        <v>0</v>
      </c>
      <c r="J29" s="472"/>
      <c r="K29" s="415"/>
      <c r="L29" s="415"/>
    </row>
    <row r="30" spans="1:12" ht="15" hidden="1" customHeight="1">
      <c r="A30" s="420"/>
      <c r="B30" s="589"/>
      <c r="C30" s="439" t="s">
        <v>564</v>
      </c>
      <c r="D30" s="436"/>
      <c r="E30" s="436"/>
      <c r="F30" s="440"/>
      <c r="G30" s="437"/>
      <c r="H30" s="484"/>
      <c r="J30" s="472"/>
      <c r="K30" s="415"/>
      <c r="L30" s="415"/>
    </row>
    <row r="31" spans="1:12" ht="12.75" hidden="1" customHeight="1">
      <c r="A31" s="420"/>
      <c r="B31" s="421"/>
      <c r="C31" s="409" t="s">
        <v>851</v>
      </c>
      <c r="D31" s="436"/>
      <c r="E31" s="441"/>
      <c r="F31" s="442"/>
      <c r="G31" s="430"/>
      <c r="H31" s="482"/>
      <c r="I31" s="536"/>
      <c r="J31" s="471"/>
      <c r="K31" s="415"/>
      <c r="L31" s="415"/>
    </row>
    <row r="32" spans="1:12" ht="12.75" hidden="1" customHeight="1">
      <c r="A32" s="420"/>
      <c r="B32" s="421"/>
      <c r="C32" s="409" t="s">
        <v>981</v>
      </c>
      <c r="D32" s="436"/>
      <c r="E32" s="441"/>
      <c r="F32" s="442"/>
      <c r="G32" s="430"/>
      <c r="H32" s="482"/>
      <c r="I32" s="536"/>
      <c r="J32" s="471"/>
      <c r="K32" s="415"/>
      <c r="L32" s="415"/>
    </row>
    <row r="33" spans="1:12" ht="12.75" hidden="1" customHeight="1">
      <c r="A33" s="420"/>
      <c r="B33" s="421"/>
      <c r="C33" s="409" t="s">
        <v>982</v>
      </c>
      <c r="D33" s="436"/>
      <c r="E33" s="441"/>
      <c r="F33" s="442"/>
      <c r="G33" s="430"/>
      <c r="H33" s="482"/>
      <c r="I33" s="536"/>
      <c r="J33" s="471"/>
      <c r="K33" s="415"/>
      <c r="L33" s="415"/>
    </row>
    <row r="34" spans="1:12" ht="12.75" hidden="1" customHeight="1">
      <c r="A34" s="420"/>
      <c r="B34" s="421"/>
      <c r="C34" s="409" t="s">
        <v>983</v>
      </c>
      <c r="D34" s="436"/>
      <c r="E34" s="415"/>
      <c r="F34" s="442"/>
      <c r="G34" s="430"/>
      <c r="H34" s="482"/>
      <c r="I34" s="536"/>
      <c r="J34" s="471"/>
      <c r="K34" s="415"/>
      <c r="L34" s="415"/>
    </row>
    <row r="35" spans="1:12" ht="12.75" hidden="1" customHeight="1" thickBot="1">
      <c r="A35" s="420"/>
      <c r="B35" s="428"/>
      <c r="C35" s="435"/>
      <c r="D35" s="436"/>
      <c r="E35" s="415"/>
      <c r="F35" s="443">
        <f>SUM(F31:F34)</f>
        <v>0</v>
      </c>
      <c r="G35" s="437"/>
      <c r="H35" s="484"/>
      <c r="J35" s="471"/>
      <c r="K35" s="415"/>
      <c r="L35" s="415"/>
    </row>
    <row r="36" spans="1:12" ht="12.75" customHeight="1">
      <c r="A36" s="420"/>
      <c r="B36" s="428"/>
      <c r="C36" s="435"/>
      <c r="D36" s="436"/>
      <c r="E36" s="415"/>
      <c r="F36" s="444"/>
      <c r="G36" s="437"/>
      <c r="H36" s="484"/>
      <c r="I36" s="538"/>
      <c r="J36" s="534"/>
      <c r="K36" s="415"/>
      <c r="L36" s="415"/>
    </row>
    <row r="37" spans="1:12" ht="15" customHeight="1">
      <c r="A37" s="420"/>
      <c r="B37" s="421" t="s">
        <v>501</v>
      </c>
      <c r="C37" s="415"/>
      <c r="D37" s="415"/>
      <c r="E37" s="428"/>
      <c r="F37" s="428"/>
      <c r="G37" s="424"/>
      <c r="H37" s="485">
        <f>SUM(H5:H35)</f>
        <v>1196800</v>
      </c>
      <c r="I37" s="537">
        <f>IF(H37&lt;&gt;0,0,"NIL")</f>
        <v>0</v>
      </c>
      <c r="J37" s="472"/>
      <c r="K37" s="415"/>
      <c r="L37" s="415"/>
    </row>
    <row r="38" spans="1:12" ht="15" customHeight="1">
      <c r="A38" s="420"/>
      <c r="B38" s="445" t="s">
        <v>999</v>
      </c>
      <c r="C38" s="415"/>
      <c r="D38" s="415"/>
      <c r="E38" s="415"/>
      <c r="F38" s="415"/>
      <c r="G38" s="415"/>
      <c r="H38" s="482"/>
      <c r="I38" s="536"/>
      <c r="J38" s="471"/>
      <c r="K38" s="415"/>
      <c r="L38" s="415"/>
    </row>
    <row r="39" spans="1:12" ht="12.75" customHeight="1">
      <c r="A39" s="420"/>
      <c r="B39" s="446"/>
      <c r="C39" s="435" t="s">
        <v>1080</v>
      </c>
      <c r="D39" s="415"/>
      <c r="E39" s="415"/>
      <c r="F39" s="415"/>
      <c r="G39" s="423"/>
      <c r="H39" s="482"/>
      <c r="I39" s="536"/>
      <c r="J39" s="471"/>
      <c r="K39" s="415"/>
      <c r="L39" s="415"/>
    </row>
    <row r="40" spans="1:12" ht="12.75" hidden="1" customHeight="1">
      <c r="A40" s="420"/>
      <c r="B40" s="446"/>
      <c r="C40" s="431" t="s">
        <v>510</v>
      </c>
      <c r="D40" s="415"/>
      <c r="E40" s="415"/>
      <c r="F40" s="411"/>
      <c r="G40" s="423"/>
      <c r="H40" s="482"/>
      <c r="I40" s="536"/>
      <c r="J40" s="471"/>
      <c r="K40" s="415"/>
      <c r="L40" s="415"/>
    </row>
    <row r="41" spans="1:12" ht="12.75" hidden="1" customHeight="1">
      <c r="A41" s="420"/>
      <c r="B41" s="446"/>
      <c r="C41" s="431" t="s">
        <v>1081</v>
      </c>
      <c r="D41" s="415"/>
      <c r="E41" s="415"/>
      <c r="F41" s="411"/>
      <c r="G41" s="423"/>
      <c r="H41" s="482"/>
      <c r="I41" s="536"/>
      <c r="J41" s="471"/>
      <c r="K41" s="415"/>
      <c r="L41" s="415"/>
    </row>
    <row r="42" spans="1:12" ht="12.75" hidden="1" customHeight="1">
      <c r="A42" s="420"/>
      <c r="B42" s="446"/>
      <c r="C42" s="431" t="s">
        <v>985</v>
      </c>
      <c r="D42" s="415"/>
      <c r="E42" s="415"/>
      <c r="F42" s="411"/>
      <c r="G42" s="423"/>
      <c r="H42" s="482"/>
      <c r="I42" s="536"/>
      <c r="J42" s="471"/>
      <c r="K42" s="415"/>
      <c r="L42" s="415"/>
    </row>
    <row r="43" spans="1:12" ht="12.75" hidden="1" customHeight="1">
      <c r="A43" s="420"/>
      <c r="B43" s="446"/>
      <c r="C43" s="431" t="s">
        <v>984</v>
      </c>
      <c r="D43" s="415"/>
      <c r="E43" s="415"/>
      <c r="F43" s="411"/>
      <c r="G43" s="423"/>
      <c r="H43" s="482"/>
      <c r="I43" s="536"/>
      <c r="J43" s="471"/>
      <c r="K43" s="415"/>
      <c r="L43" s="415"/>
    </row>
    <row r="44" spans="1:12" ht="12.75" customHeight="1">
      <c r="A44" s="420"/>
      <c r="B44" s="446"/>
      <c r="C44" s="431" t="s">
        <v>572</v>
      </c>
      <c r="D44" s="415"/>
      <c r="E44" s="415"/>
      <c r="F44" s="411">
        <v>10000</v>
      </c>
      <c r="G44" s="423"/>
      <c r="H44" s="482"/>
      <c r="I44" s="536"/>
      <c r="J44" s="471"/>
      <c r="K44" s="415"/>
      <c r="L44" s="415"/>
    </row>
    <row r="45" spans="1:12" ht="12.75" customHeight="1">
      <c r="A45" s="420"/>
      <c r="B45" s="446"/>
      <c r="C45" s="431" t="s">
        <v>509</v>
      </c>
      <c r="D45" s="415"/>
      <c r="E45" s="415"/>
      <c r="F45" s="411">
        <v>90000</v>
      </c>
      <c r="G45" s="423"/>
      <c r="H45" s="482"/>
      <c r="I45" s="536"/>
      <c r="J45" s="471"/>
      <c r="K45" s="415"/>
      <c r="L45" s="415"/>
    </row>
    <row r="46" spans="1:12" ht="12.75" hidden="1" customHeight="1">
      <c r="A46" s="420"/>
      <c r="B46" s="446"/>
      <c r="C46" s="431" t="s">
        <v>986</v>
      </c>
      <c r="D46" s="415"/>
      <c r="E46" s="415"/>
      <c r="F46" s="411"/>
      <c r="G46" s="423"/>
      <c r="H46" s="482"/>
      <c r="I46" s="536"/>
      <c r="J46" s="471"/>
      <c r="K46" s="415"/>
      <c r="L46" s="415"/>
    </row>
    <row r="47" spans="1:12" ht="12.75" hidden="1" customHeight="1">
      <c r="A47" s="420"/>
      <c r="B47" s="446"/>
      <c r="C47" s="431" t="s">
        <v>987</v>
      </c>
      <c r="D47" s="415"/>
      <c r="E47" s="415"/>
      <c r="F47" s="411"/>
      <c r="G47" s="423"/>
      <c r="H47" s="482"/>
      <c r="I47" s="536"/>
      <c r="J47" s="471"/>
      <c r="K47" s="415"/>
      <c r="L47" s="415"/>
    </row>
    <row r="48" spans="1:12" ht="12.75" hidden="1" customHeight="1">
      <c r="A48" s="420"/>
      <c r="B48" s="446"/>
      <c r="C48" s="431" t="s">
        <v>988</v>
      </c>
      <c r="D48" s="415"/>
      <c r="E48" s="415"/>
      <c r="F48" s="411"/>
      <c r="G48" s="423"/>
      <c r="H48" s="482"/>
      <c r="I48" s="536"/>
      <c r="J48" s="471"/>
      <c r="K48" s="415"/>
      <c r="L48" s="415"/>
    </row>
    <row r="49" spans="1:12" ht="12.75" hidden="1" customHeight="1">
      <c r="A49" s="420"/>
      <c r="B49" s="446"/>
      <c r="C49" s="431" t="s">
        <v>989</v>
      </c>
      <c r="D49" s="415"/>
      <c r="E49" s="415"/>
      <c r="F49" s="411"/>
      <c r="G49" s="423"/>
      <c r="H49" s="482"/>
      <c r="I49" s="536"/>
      <c r="J49" s="471"/>
      <c r="K49" s="415"/>
      <c r="L49" s="415"/>
    </row>
    <row r="50" spans="1:12" ht="12.75" customHeight="1">
      <c r="A50" s="420"/>
      <c r="B50" s="446"/>
      <c r="C50" s="431" t="s">
        <v>990</v>
      </c>
      <c r="D50" s="415"/>
      <c r="E50" s="415"/>
      <c r="F50" s="411">
        <v>30000</v>
      </c>
      <c r="G50" s="423"/>
      <c r="H50" s="482"/>
      <c r="I50" s="536"/>
      <c r="J50" s="471"/>
      <c r="K50" s="415"/>
      <c r="L50" s="415"/>
    </row>
    <row r="51" spans="1:12" ht="15" customHeight="1">
      <c r="A51" s="420"/>
      <c r="B51" s="446"/>
      <c r="C51" s="431"/>
      <c r="D51" s="415"/>
      <c r="E51" s="415"/>
      <c r="F51" s="448">
        <f>SUM(F40:F50)</f>
        <v>130000</v>
      </c>
      <c r="G51" s="415">
        <f>IF(F51&gt;150000,150000,F51)</f>
        <v>130000</v>
      </c>
      <c r="H51" s="482"/>
      <c r="I51" s="536"/>
      <c r="J51" s="471"/>
      <c r="K51" s="415"/>
      <c r="L51" s="415"/>
    </row>
    <row r="52" spans="1:12" ht="15" hidden="1" customHeight="1">
      <c r="A52" s="420"/>
      <c r="B52" s="446"/>
      <c r="C52" s="449" t="s">
        <v>1079</v>
      </c>
      <c r="D52" s="415"/>
      <c r="E52" s="415"/>
      <c r="F52" s="450"/>
      <c r="G52" s="411"/>
      <c r="H52" s="482"/>
      <c r="I52" s="536"/>
      <c r="J52" s="471"/>
      <c r="K52" s="415"/>
      <c r="L52" s="415"/>
    </row>
    <row r="53" spans="1:12" ht="15" hidden="1" customHeight="1">
      <c r="A53" s="420"/>
      <c r="B53" s="446"/>
      <c r="C53" s="449" t="s">
        <v>1078</v>
      </c>
      <c r="D53" s="415"/>
      <c r="E53" s="415"/>
      <c r="F53" s="450"/>
      <c r="G53" s="411"/>
      <c r="H53" s="482"/>
      <c r="I53" s="536"/>
      <c r="J53" s="471"/>
      <c r="K53" s="415"/>
      <c r="L53" s="415"/>
    </row>
    <row r="54" spans="1:12" ht="15" hidden="1" customHeight="1">
      <c r="A54" s="420"/>
      <c r="B54" s="446"/>
      <c r="C54" s="449" t="s">
        <v>852</v>
      </c>
      <c r="D54" s="415"/>
      <c r="E54" s="415"/>
      <c r="F54" s="450"/>
      <c r="G54" s="411"/>
      <c r="H54" s="482"/>
      <c r="I54" s="536"/>
      <c r="J54" s="471"/>
      <c r="K54" s="415"/>
      <c r="L54" s="415"/>
    </row>
    <row r="55" spans="1:12" ht="14.25" hidden="1" customHeight="1">
      <c r="A55" s="420"/>
      <c r="B55" s="446"/>
      <c r="C55" s="449" t="s">
        <v>611</v>
      </c>
      <c r="D55" s="415"/>
      <c r="E55" s="415"/>
      <c r="F55" s="415"/>
      <c r="G55" s="411"/>
      <c r="H55" s="482"/>
      <c r="I55" s="536"/>
      <c r="J55" s="471"/>
      <c r="K55" s="415"/>
      <c r="L55" s="415"/>
    </row>
    <row r="56" spans="1:12">
      <c r="A56" s="420"/>
      <c r="B56" s="415"/>
      <c r="C56" s="449" t="s">
        <v>979</v>
      </c>
      <c r="D56" s="415"/>
      <c r="E56" s="428"/>
      <c r="F56" s="428"/>
      <c r="G56" s="447">
        <f>IF(G19&gt;10000, 10000, G19)</f>
        <v>10000</v>
      </c>
      <c r="H56" s="482"/>
      <c r="I56" s="536"/>
      <c r="J56" s="471"/>
      <c r="K56" s="415"/>
      <c r="L56" s="415"/>
    </row>
    <row r="57" spans="1:12">
      <c r="A57" s="420"/>
      <c r="B57" s="415"/>
      <c r="C57" s="543" t="s">
        <v>853</v>
      </c>
      <c r="D57" s="415"/>
      <c r="E57" s="428"/>
      <c r="F57" s="428"/>
      <c r="G57" s="411"/>
      <c r="H57" s="482">
        <f>SUM(G51:G57)</f>
        <v>140000</v>
      </c>
      <c r="I57" s="537">
        <f>IF(H57&lt;&gt;0,0,"NIL")</f>
        <v>0</v>
      </c>
      <c r="J57" s="472"/>
      <c r="K57" s="415"/>
      <c r="L57" s="415"/>
    </row>
    <row r="58" spans="1:12" ht="15.75" customHeight="1" thickBot="1">
      <c r="A58" s="420"/>
      <c r="B58" s="451" t="s">
        <v>777</v>
      </c>
      <c r="C58" s="415"/>
      <c r="D58" s="415"/>
      <c r="E58" s="452">
        <f>IF((H37-H57)&lt;0,0,(H37-H57))</f>
        <v>1056800</v>
      </c>
      <c r="F58" s="453" t="s">
        <v>779</v>
      </c>
      <c r="G58" s="440"/>
      <c r="H58" s="486">
        <f>ROUND((E58/10),0)*10</f>
        <v>1056800</v>
      </c>
      <c r="I58" s="539">
        <f>IF(H58&lt;&gt;0,0,"NIL")</f>
        <v>0</v>
      </c>
      <c r="J58" s="475"/>
      <c r="K58" s="415"/>
      <c r="L58" s="415"/>
    </row>
    <row r="59" spans="1:12" ht="15" customHeight="1" thickTop="1">
      <c r="A59" s="420"/>
      <c r="B59" s="450" t="s">
        <v>778</v>
      </c>
      <c r="C59" s="415"/>
      <c r="D59" s="415"/>
      <c r="E59" s="444" t="s">
        <v>521</v>
      </c>
      <c r="F59" s="454" t="s">
        <v>522</v>
      </c>
      <c r="G59" s="444" t="s">
        <v>524</v>
      </c>
      <c r="H59" s="487"/>
      <c r="J59" s="471"/>
      <c r="K59" s="415"/>
      <c r="L59" s="415"/>
    </row>
    <row r="60" spans="1:12" ht="15" customHeight="1">
      <c r="A60" s="420"/>
      <c r="B60" s="530">
        <f>+Data!D3</f>
        <v>0</v>
      </c>
      <c r="C60" s="408" t="s">
        <v>518</v>
      </c>
      <c r="D60" s="415"/>
      <c r="E60" s="455">
        <f>E58-E61</f>
        <v>1056800</v>
      </c>
      <c r="F60" s="456"/>
      <c r="G60" s="415">
        <f>IF(+Data!D2="Senior",ROUND(IF(E60&gt;1000000,(((E60-1000000)*0.3)+120000),IF(E60&gt;500000,(((E60-500000)*0.2)+20000),IF(E60&gt;300000,((E60-300000)*0.1),0))),0),ROUND(IF(E60&gt;1000000,(((E60-1000000)*0.3)+125000),IF(E60&gt;500000,(((E60-500000)*0.2)+25000),IF(E60&gt;250000,((E60-250000)*0.1),0))),0))</f>
        <v>142040</v>
      </c>
      <c r="H60" s="487"/>
      <c r="J60" s="471"/>
      <c r="K60" s="415"/>
      <c r="L60" s="415"/>
    </row>
    <row r="61" spans="1:12" ht="15" hidden="1" customHeight="1">
      <c r="A61" s="420"/>
      <c r="B61" s="450"/>
      <c r="C61" s="408" t="s">
        <v>519</v>
      </c>
      <c r="D61" s="415"/>
      <c r="E61" s="410"/>
      <c r="F61" s="457">
        <v>0.15</v>
      </c>
      <c r="G61" s="523"/>
      <c r="H61" s="484"/>
      <c r="J61" s="471"/>
      <c r="K61" s="415"/>
      <c r="L61" s="415"/>
    </row>
    <row r="62" spans="1:12" ht="15" hidden="1" customHeight="1">
      <c r="A62" s="420"/>
      <c r="B62" s="415"/>
      <c r="C62" s="415"/>
      <c r="D62" s="456"/>
      <c r="E62" s="428"/>
      <c r="F62" s="415"/>
      <c r="G62" s="526">
        <f>G60+G61</f>
        <v>142040</v>
      </c>
      <c r="H62" s="488"/>
      <c r="I62" s="537"/>
      <c r="J62" s="472"/>
      <c r="K62" s="415"/>
      <c r="L62" s="415"/>
    </row>
    <row r="63" spans="1:12" ht="15" customHeight="1">
      <c r="A63" s="420"/>
      <c r="C63" s="524" t="s">
        <v>1015</v>
      </c>
      <c r="D63" s="456"/>
      <c r="E63" s="428"/>
      <c r="F63" s="415"/>
      <c r="G63" s="527">
        <f>IF(H58&gt;500000,0,IF(G62&gt;2000,2000,G62))</f>
        <v>0</v>
      </c>
      <c r="H63" s="489">
        <f>G62-G63</f>
        <v>142040</v>
      </c>
      <c r="I63" s="537">
        <f>IF(H63&lt;&gt;0,0,"NIL")</f>
        <v>0</v>
      </c>
      <c r="J63" s="472"/>
      <c r="K63" s="415"/>
      <c r="L63" s="415"/>
    </row>
    <row r="64" spans="1:12" ht="15" customHeight="1">
      <c r="A64" s="420"/>
      <c r="B64" s="408" t="s">
        <v>774</v>
      </c>
      <c r="C64" s="415"/>
      <c r="D64" s="456"/>
      <c r="E64" s="428"/>
      <c r="F64" s="415"/>
      <c r="G64" s="428"/>
      <c r="H64" s="489">
        <f>ROUND((H63)*0.02,0)</f>
        <v>2841</v>
      </c>
      <c r="I64" s="537">
        <f>IF(H64&lt;&gt;0,0,"NIL")</f>
        <v>0</v>
      </c>
      <c r="J64" s="472"/>
      <c r="K64" s="415"/>
      <c r="L64" s="415"/>
    </row>
    <row r="65" spans="1:16" ht="15" customHeight="1">
      <c r="A65" s="420"/>
      <c r="B65" s="408" t="s">
        <v>775</v>
      </c>
      <c r="C65" s="415"/>
      <c r="D65" s="456"/>
      <c r="E65" s="458"/>
      <c r="F65" s="415"/>
      <c r="G65" s="428"/>
      <c r="H65" s="528">
        <f>ROUND((H63)*0.01,0)</f>
        <v>1420</v>
      </c>
      <c r="I65" s="540">
        <f>IF(H65&lt;&gt;0,0,"NIL")</f>
        <v>0</v>
      </c>
      <c r="J65" s="474"/>
      <c r="K65" s="423"/>
      <c r="L65" s="423"/>
    </row>
    <row r="66" spans="1:16" ht="15" customHeight="1">
      <c r="A66" s="420"/>
      <c r="B66" s="450" t="s">
        <v>565</v>
      </c>
      <c r="C66" s="415"/>
      <c r="D66" s="456"/>
      <c r="E66" s="458"/>
      <c r="F66" s="415"/>
      <c r="G66" s="428"/>
      <c r="H66" s="488">
        <f>SUM(H63:H65)</f>
        <v>146301</v>
      </c>
      <c r="I66" s="537"/>
      <c r="J66" s="472"/>
      <c r="K66" s="423"/>
      <c r="L66" s="423"/>
    </row>
    <row r="67" spans="1:16" ht="15" hidden="1" customHeight="1">
      <c r="A67" s="420"/>
      <c r="B67" s="427"/>
      <c r="C67" s="428"/>
      <c r="D67" s="428"/>
      <c r="E67" s="428"/>
      <c r="F67" s="428"/>
      <c r="G67" s="428"/>
      <c r="H67" s="528"/>
      <c r="I67" s="540"/>
      <c r="J67" s="473"/>
      <c r="K67" s="423"/>
      <c r="L67" s="427"/>
    </row>
    <row r="68" spans="1:16" ht="15" hidden="1" customHeight="1">
      <c r="A68" s="420"/>
      <c r="B68" s="450"/>
      <c r="C68" s="428"/>
      <c r="D68" s="428"/>
      <c r="E68" s="428"/>
      <c r="F68" s="428"/>
      <c r="G68" s="428"/>
      <c r="H68" s="491">
        <f>H66+H67</f>
        <v>146301</v>
      </c>
      <c r="I68" s="537"/>
      <c r="J68" s="472"/>
      <c r="K68" s="415"/>
      <c r="L68" s="415"/>
    </row>
    <row r="69" spans="1:16" ht="15" customHeight="1">
      <c r="A69" s="420"/>
      <c r="B69" s="415" t="s">
        <v>523</v>
      </c>
      <c r="C69" s="428"/>
      <c r="D69" s="428"/>
      <c r="E69" s="428"/>
      <c r="F69" s="428"/>
      <c r="G69" s="428"/>
      <c r="H69" s="492">
        <f>IF(Data!E2&gt;19814, Intt!I1, IF(H14&gt;0, Intt!I1,0))</f>
        <v>0</v>
      </c>
      <c r="I69" s="540" t="str">
        <f>IF(H69&lt;&gt;0,0,"NIL")</f>
        <v>NIL</v>
      </c>
      <c r="J69" s="473"/>
      <c r="K69" s="415"/>
      <c r="L69" s="415"/>
    </row>
    <row r="70" spans="1:16" ht="15" customHeight="1">
      <c r="A70" s="420"/>
      <c r="B70" s="450" t="s">
        <v>768</v>
      </c>
      <c r="C70" s="428"/>
      <c r="D70" s="428"/>
      <c r="E70" s="428"/>
      <c r="F70" s="428"/>
      <c r="G70" s="428"/>
      <c r="H70" s="490">
        <f>H68+H69</f>
        <v>146301</v>
      </c>
      <c r="I70" s="537">
        <f>IF(H70&lt;&gt;0,0,"NIL")</f>
        <v>0</v>
      </c>
      <c r="J70" s="472"/>
      <c r="K70" s="415">
        <v>0</v>
      </c>
      <c r="L70" s="415"/>
    </row>
    <row r="71" spans="1:16" ht="15" customHeight="1">
      <c r="A71" s="420"/>
      <c r="B71" s="421" t="s">
        <v>571</v>
      </c>
      <c r="C71" s="428"/>
      <c r="D71" s="428"/>
      <c r="E71" s="428"/>
      <c r="F71" s="428"/>
      <c r="G71" s="428"/>
      <c r="H71" s="490"/>
      <c r="I71" s="537"/>
      <c r="J71" s="471"/>
      <c r="K71" s="415"/>
      <c r="L71" s="415"/>
    </row>
    <row r="72" spans="1:16" ht="15" customHeight="1">
      <c r="A72" s="420"/>
      <c r="B72" s="415"/>
      <c r="C72" s="1115" t="s">
        <v>993</v>
      </c>
      <c r="D72" s="1115"/>
      <c r="E72" s="1115"/>
      <c r="F72" s="1115"/>
      <c r="G72" s="447">
        <f>+Intt!B11</f>
        <v>20000</v>
      </c>
      <c r="H72" s="482"/>
      <c r="I72" s="536"/>
      <c r="J72" s="472"/>
      <c r="K72" s="415"/>
      <c r="L72" s="415"/>
    </row>
    <row r="73" spans="1:16" ht="15" customHeight="1">
      <c r="A73" s="420"/>
      <c r="B73" s="588">
        <f>SUM(G72:G75)</f>
        <v>148780</v>
      </c>
      <c r="C73" s="1115" t="s">
        <v>570</v>
      </c>
      <c r="D73" s="1115"/>
      <c r="E73" s="1115"/>
      <c r="F73" s="1115"/>
      <c r="G73" s="410">
        <v>89780</v>
      </c>
      <c r="H73" s="482"/>
      <c r="I73" s="536"/>
      <c r="J73" s="472"/>
      <c r="K73" s="415"/>
      <c r="L73" s="415"/>
    </row>
    <row r="74" spans="1:16" ht="12.75" customHeight="1">
      <c r="A74" s="420"/>
      <c r="B74" s="459"/>
      <c r="C74" s="1115" t="s">
        <v>1124</v>
      </c>
      <c r="D74" s="1115"/>
      <c r="E74" s="1115"/>
      <c r="F74" s="1115"/>
      <c r="G74" s="410">
        <v>15000</v>
      </c>
      <c r="H74" s="482"/>
      <c r="I74" s="536"/>
      <c r="J74" s="472"/>
      <c r="K74" s="415"/>
      <c r="L74" s="415"/>
    </row>
    <row r="75" spans="1:16" ht="12.75" customHeight="1">
      <c r="A75" s="420"/>
      <c r="B75" s="459"/>
      <c r="C75" s="1115" t="s">
        <v>1126</v>
      </c>
      <c r="D75" s="1115"/>
      <c r="E75" s="1115"/>
      <c r="F75" s="1115"/>
      <c r="G75" s="410">
        <v>24000</v>
      </c>
      <c r="H75" s="482"/>
      <c r="I75" s="536"/>
      <c r="J75" s="472"/>
      <c r="K75" s="415"/>
      <c r="L75" s="408"/>
    </row>
    <row r="76" spans="1:16" ht="12.75" customHeight="1" thickBot="1">
      <c r="A76" s="414"/>
      <c r="B76" s="477"/>
      <c r="C76" s="1114" t="s">
        <v>850</v>
      </c>
      <c r="D76" s="1114"/>
      <c r="E76" s="1114"/>
      <c r="F76" s="1114"/>
      <c r="G76" s="481">
        <f>IF(H70-SUM(G72:G75)&gt;0,(H70-SUM(G72:G75)),0)</f>
        <v>0</v>
      </c>
      <c r="H76" s="493">
        <f>SUM(G72:G76)</f>
        <v>148780</v>
      </c>
      <c r="I76" s="541">
        <f>IF(H76&lt;&gt;0,0,"NIL")</f>
        <v>0</v>
      </c>
      <c r="J76" s="478"/>
      <c r="K76" s="415"/>
      <c r="L76" s="408"/>
    </row>
    <row r="77" spans="1:16" ht="18" customHeight="1" thickBot="1">
      <c r="A77" s="494"/>
      <c r="B77" s="495" t="str">
        <f>IF(H77=0,"TAX  PAYABLE / REFUND ",IF(H77&lt;0,"REFUND","TAX  PAYABLE"))</f>
        <v>REFUND</v>
      </c>
      <c r="C77" s="496"/>
      <c r="D77" s="496"/>
      <c r="E77" s="497"/>
      <c r="F77" s="498" t="s">
        <v>776</v>
      </c>
      <c r="G77" s="497"/>
      <c r="H77" s="499">
        <f>ROUND((H70-H76)/10,0)*10</f>
        <v>-2480</v>
      </c>
      <c r="I77" s="542">
        <f>IF(H77&lt;&gt;0,0,"NIL")</f>
        <v>0</v>
      </c>
      <c r="J77" s="500"/>
      <c r="K77" s="415"/>
      <c r="L77" s="408"/>
    </row>
    <row r="78" spans="1:16">
      <c r="A78" s="567"/>
      <c r="B78" s="570"/>
      <c r="C78" s="570"/>
      <c r="D78" s="570"/>
      <c r="E78" s="570"/>
      <c r="F78" s="570"/>
      <c r="G78" s="570"/>
      <c r="H78" s="570"/>
      <c r="I78" s="568"/>
      <c r="J78" s="569"/>
      <c r="K78" s="415"/>
      <c r="L78" s="408"/>
      <c r="M78" s="554"/>
      <c r="N78" s="554"/>
      <c r="O78" s="554"/>
      <c r="P78" s="554"/>
    </row>
    <row r="79" spans="1:16">
      <c r="A79" s="567"/>
      <c r="B79" s="554"/>
      <c r="C79" s="554"/>
      <c r="D79" s="554"/>
      <c r="E79" s="554"/>
      <c r="F79" s="554"/>
      <c r="G79" s="554"/>
      <c r="H79" s="554"/>
      <c r="I79" s="568"/>
      <c r="J79" s="569"/>
      <c r="K79" s="415"/>
      <c r="L79" s="408"/>
      <c r="M79" s="554"/>
      <c r="N79" s="554"/>
      <c r="O79" s="554"/>
      <c r="P79" s="554"/>
    </row>
    <row r="80" spans="1:16">
      <c r="A80" s="567"/>
      <c r="B80" s="554"/>
      <c r="C80" s="554"/>
      <c r="D80" s="554"/>
      <c r="E80" s="554"/>
      <c r="F80" s="554"/>
      <c r="G80" s="554"/>
      <c r="H80" s="554"/>
      <c r="I80" s="568"/>
      <c r="J80" s="569"/>
      <c r="K80" s="415"/>
      <c r="L80" s="408"/>
      <c r="M80" s="554"/>
      <c r="N80" s="554"/>
      <c r="O80" s="554"/>
      <c r="P80" s="554"/>
    </row>
    <row r="81" spans="1:16">
      <c r="A81" s="567"/>
      <c r="B81" s="554"/>
      <c r="C81" s="554"/>
      <c r="D81" s="554"/>
      <c r="E81" s="554"/>
      <c r="F81" s="554"/>
      <c r="G81" s="554"/>
      <c r="H81" s="554"/>
      <c r="I81" s="568"/>
      <c r="J81" s="569"/>
      <c r="K81" s="415"/>
      <c r="L81" s="408"/>
      <c r="M81" s="554"/>
      <c r="N81" s="554"/>
      <c r="O81" s="554"/>
      <c r="P81" s="554"/>
    </row>
    <row r="82" spans="1:16">
      <c r="A82" s="567"/>
      <c r="B82" s="554"/>
      <c r="C82" s="554"/>
      <c r="D82" s="554"/>
      <c r="E82" s="554"/>
      <c r="F82" s="554"/>
      <c r="G82" s="554"/>
      <c r="H82" s="554"/>
      <c r="I82" s="568"/>
      <c r="J82" s="569"/>
      <c r="K82" s="415"/>
      <c r="L82" s="408"/>
      <c r="M82" s="554"/>
      <c r="N82" s="554"/>
      <c r="O82" s="554"/>
      <c r="P82" s="554"/>
    </row>
    <row r="83" spans="1:16">
      <c r="A83" s="567"/>
      <c r="B83" s="554"/>
      <c r="C83" s="554"/>
      <c r="D83" s="554"/>
      <c r="E83" s="554"/>
      <c r="F83" s="554"/>
      <c r="G83" s="554"/>
      <c r="H83" s="554"/>
      <c r="I83" s="568"/>
      <c r="J83" s="569"/>
      <c r="K83" s="415"/>
      <c r="L83" s="408"/>
      <c r="M83" s="554"/>
      <c r="N83" s="554"/>
      <c r="O83" s="554"/>
      <c r="P83" s="554"/>
    </row>
  </sheetData>
  <mergeCells count="7">
    <mergeCell ref="A1:J1"/>
    <mergeCell ref="A2:J2"/>
    <mergeCell ref="C76:F76"/>
    <mergeCell ref="C73:F73"/>
    <mergeCell ref="C72:F72"/>
    <mergeCell ref="C74:F74"/>
    <mergeCell ref="C75:F75"/>
  </mergeCells>
  <phoneticPr fontId="41" type="noConversion"/>
  <conditionalFormatting sqref="F61">
    <cfRule type="expression" dxfId="10" priority="1" stopIfTrue="1">
      <formula>"""$E$55=0"""</formula>
    </cfRule>
  </conditionalFormatting>
  <dataValidations count="2">
    <dataValidation type="list" errorStyle="information" allowBlank="1" showInputMessage="1" showErrorMessage="1" sqref="C42">
      <formula1>"ICICI PRUDENTIAL PREM, BAJAJ ALLIANZ LIFE INSURANCE PREM., LIC  PREMIUM, ULIP PREMIUM"</formula1>
    </dataValidation>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82"/>
  <sheetViews>
    <sheetView showZeros="0" topLeftCell="A49"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9.42578125" style="416" customWidth="1"/>
    <col min="8" max="8" width="11.140625" style="416" customWidth="1"/>
    <col min="9" max="9" width="4.28515625" style="526" customWidth="1"/>
    <col min="10" max="10" width="1.85546875" style="476" customWidth="1"/>
    <col min="11" max="16384" width="9.140625" style="416"/>
  </cols>
  <sheetData>
    <row r="1" spans="1:10" s="413" customFormat="1" ht="18.75" customHeight="1">
      <c r="A1" s="1108" t="s">
        <v>1083</v>
      </c>
      <c r="B1" s="1109"/>
      <c r="C1" s="1109"/>
      <c r="D1" s="1109"/>
      <c r="E1" s="1109"/>
      <c r="F1" s="1109"/>
      <c r="G1" s="1109"/>
      <c r="H1" s="1109"/>
      <c r="I1" s="1109"/>
      <c r="J1" s="1110"/>
    </row>
    <row r="2" spans="1:10" ht="18" customHeight="1" thickBot="1">
      <c r="A2" s="1111" t="s">
        <v>562</v>
      </c>
      <c r="B2" s="1112"/>
      <c r="C2" s="1112"/>
      <c r="D2" s="1112"/>
      <c r="E2" s="1112"/>
      <c r="F2" s="1112"/>
      <c r="G2" s="1112"/>
      <c r="H2" s="1112"/>
      <c r="I2" s="1112"/>
      <c r="J2" s="1113"/>
    </row>
    <row r="3" spans="1:10" ht="20.100000000000001" customHeight="1">
      <c r="A3" s="417"/>
      <c r="B3" s="418" t="s">
        <v>994</v>
      </c>
      <c r="C3" s="419"/>
      <c r="D3" s="419"/>
      <c r="E3" s="419"/>
      <c r="F3" s="419"/>
      <c r="G3" s="419"/>
      <c r="H3" s="501" t="s">
        <v>1013</v>
      </c>
      <c r="I3" s="535"/>
      <c r="J3" s="470"/>
    </row>
    <row r="4" spans="1:10" ht="15" customHeight="1">
      <c r="A4" s="420"/>
      <c r="B4" s="421"/>
      <c r="C4" s="422" t="s">
        <v>1165</v>
      </c>
      <c r="D4" s="422"/>
      <c r="E4" s="415"/>
      <c r="F4" s="423"/>
      <c r="G4" s="411">
        <v>4892000</v>
      </c>
      <c r="H4" s="482"/>
      <c r="I4" s="536"/>
      <c r="J4" s="471"/>
    </row>
    <row r="5" spans="1:10" ht="15" customHeight="1">
      <c r="A5" s="420"/>
      <c r="B5" s="415"/>
      <c r="C5" s="408" t="s">
        <v>848</v>
      </c>
      <c r="D5" s="415"/>
      <c r="E5" s="415"/>
      <c r="F5" s="415"/>
      <c r="G5" s="425"/>
      <c r="H5" s="482">
        <f>G4-G5</f>
        <v>4892000</v>
      </c>
      <c r="I5" s="537">
        <f>IF(H5&lt;&gt;0,0,"NIL")</f>
        <v>0</v>
      </c>
      <c r="J5" s="472"/>
    </row>
    <row r="6" spans="1:10" ht="15" customHeight="1">
      <c r="A6" s="420"/>
      <c r="B6" s="426" t="s">
        <v>995</v>
      </c>
      <c r="C6" s="415"/>
      <c r="D6" s="415"/>
      <c r="E6" s="525" t="s">
        <v>1014</v>
      </c>
      <c r="F6" s="423"/>
      <c r="G6" s="415"/>
      <c r="H6" s="482"/>
      <c r="I6" s="537"/>
      <c r="J6" s="472"/>
    </row>
    <row r="7" spans="1:10" ht="15" customHeight="1">
      <c r="A7" s="420"/>
      <c r="B7" s="415"/>
      <c r="C7" s="583" t="s">
        <v>1164</v>
      </c>
      <c r="D7" s="422"/>
      <c r="E7" s="427"/>
      <c r="F7" s="428"/>
      <c r="G7" s="411"/>
      <c r="H7" s="482"/>
      <c r="I7" s="537"/>
      <c r="J7" s="472"/>
    </row>
    <row r="8" spans="1:10" ht="15" hidden="1" customHeight="1">
      <c r="A8" s="420"/>
      <c r="B8" s="415"/>
      <c r="C8" s="408" t="s">
        <v>769</v>
      </c>
      <c r="D8" s="415"/>
      <c r="E8" s="415"/>
      <c r="F8" s="415"/>
      <c r="G8" s="479"/>
      <c r="H8" s="482"/>
      <c r="I8" s="537"/>
      <c r="J8" s="472"/>
    </row>
    <row r="9" spans="1:10" ht="15" hidden="1" customHeight="1">
      <c r="A9" s="420"/>
      <c r="B9" s="415"/>
      <c r="C9" s="408"/>
      <c r="D9" s="415"/>
      <c r="E9" s="415"/>
      <c r="F9" s="415"/>
      <c r="G9" s="423">
        <f>IF((G7-G8)&lt;0,0,(G7-G8))</f>
        <v>0</v>
      </c>
      <c r="H9" s="482"/>
      <c r="I9" s="537"/>
      <c r="J9" s="472"/>
    </row>
    <row r="10" spans="1:10" ht="15" customHeight="1">
      <c r="A10" s="420"/>
      <c r="B10" s="415"/>
      <c r="C10" s="590" t="s">
        <v>514</v>
      </c>
      <c r="D10" s="415"/>
      <c r="E10" s="415" t="s">
        <v>1093</v>
      </c>
      <c r="F10" s="415">
        <f t="shared" ref="F10:F15" si="0">G9*0.3</f>
        <v>0</v>
      </c>
      <c r="G10" s="423"/>
      <c r="H10" s="482"/>
      <c r="I10" s="537"/>
      <c r="J10" s="472"/>
    </row>
    <row r="11" spans="1:10" ht="15" customHeight="1">
      <c r="A11" s="420"/>
      <c r="B11" s="415"/>
      <c r="D11" s="415"/>
      <c r="E11" s="415" t="s">
        <v>1094</v>
      </c>
      <c r="F11" s="415">
        <f t="shared" si="0"/>
        <v>0</v>
      </c>
      <c r="G11" s="592">
        <v>190000</v>
      </c>
      <c r="H11" s="482">
        <f>G9-G11</f>
        <v>-190000</v>
      </c>
      <c r="I11" s="537">
        <f>IF(H11&lt;&gt;0,0,"NIL")</f>
        <v>0</v>
      </c>
      <c r="J11" s="472"/>
    </row>
    <row r="12" spans="1:10" ht="17.25" hidden="1" customHeight="1">
      <c r="A12" s="420"/>
      <c r="B12" s="421" t="s">
        <v>996</v>
      </c>
      <c r="C12" s="408"/>
      <c r="D12" s="415"/>
      <c r="E12" s="429"/>
      <c r="F12" s="415">
        <f t="shared" si="0"/>
        <v>57000</v>
      </c>
      <c r="G12" s="415"/>
      <c r="H12" s="482"/>
      <c r="I12" s="537"/>
      <c r="J12" s="472"/>
    </row>
    <row r="13" spans="1:10" ht="15" hidden="1" customHeight="1">
      <c r="A13" s="420"/>
      <c r="B13" s="415"/>
      <c r="C13" s="408" t="s">
        <v>991</v>
      </c>
      <c r="D13" s="415"/>
      <c r="E13" s="429"/>
      <c r="F13" s="415">
        <f t="shared" si="0"/>
        <v>0</v>
      </c>
      <c r="G13" s="411"/>
      <c r="H13" s="482"/>
      <c r="I13" s="537"/>
      <c r="J13" s="472"/>
    </row>
    <row r="14" spans="1:10" ht="15" hidden="1" customHeight="1">
      <c r="A14" s="420"/>
      <c r="B14" s="415"/>
      <c r="C14" s="408" t="s">
        <v>992</v>
      </c>
      <c r="D14" s="415"/>
      <c r="E14" s="429"/>
      <c r="F14" s="415">
        <f t="shared" si="0"/>
        <v>0</v>
      </c>
      <c r="G14" s="479"/>
      <c r="H14" s="483">
        <f>G13-G14</f>
        <v>0</v>
      </c>
      <c r="I14" s="537" t="str">
        <f>IF(H14&lt;&gt;0,0,"NIL")</f>
        <v>NIL</v>
      </c>
      <c r="J14" s="472"/>
    </row>
    <row r="15" spans="1:10" ht="15" customHeight="1">
      <c r="A15" s="420"/>
      <c r="B15" s="421" t="s">
        <v>997</v>
      </c>
      <c r="C15" s="415"/>
      <c r="D15" s="415"/>
      <c r="E15" s="415"/>
      <c r="F15" s="415">
        <f t="shared" si="0"/>
        <v>0</v>
      </c>
      <c r="G15" s="415"/>
      <c r="H15" s="482"/>
      <c r="I15" s="537"/>
      <c r="J15" s="472"/>
    </row>
    <row r="16" spans="1:10">
      <c r="A16" s="420"/>
      <c r="B16" s="415"/>
      <c r="C16" s="408" t="s">
        <v>498</v>
      </c>
      <c r="D16" s="415"/>
      <c r="E16" s="415"/>
      <c r="F16" s="415"/>
      <c r="G16" s="411"/>
      <c r="H16" s="482"/>
      <c r="I16" s="537"/>
      <c r="J16" s="472"/>
    </row>
    <row r="17" spans="1:10">
      <c r="A17" s="420"/>
      <c r="B17" s="415"/>
      <c r="C17" s="408" t="s">
        <v>77</v>
      </c>
      <c r="D17" s="415"/>
      <c r="E17" s="415"/>
      <c r="F17" s="415"/>
      <c r="G17" s="479"/>
      <c r="H17" s="482">
        <f>G16+G17</f>
        <v>0</v>
      </c>
      <c r="I17" s="537" t="str">
        <f>IF(H17&lt;&gt;0,0,"NIL")</f>
        <v>NIL</v>
      </c>
      <c r="J17" s="472"/>
    </row>
    <row r="18" spans="1:10" ht="20.100000000000001" customHeight="1">
      <c r="A18" s="420"/>
      <c r="B18" s="421" t="s">
        <v>998</v>
      </c>
      <c r="C18" s="415"/>
      <c r="D18" s="415"/>
      <c r="E18" s="415"/>
      <c r="F18" s="415"/>
      <c r="G18" s="415"/>
      <c r="H18" s="482"/>
      <c r="I18" s="536"/>
      <c r="J18" s="471"/>
    </row>
    <row r="19" spans="1:10" ht="13.5">
      <c r="A19" s="420"/>
      <c r="B19" s="636"/>
      <c r="C19" s="431"/>
      <c r="D19" s="431"/>
      <c r="E19" s="431"/>
      <c r="F19" s="415"/>
      <c r="G19" s="411"/>
      <c r="H19" s="482"/>
      <c r="I19" s="536"/>
      <c r="J19" s="471"/>
    </row>
    <row r="20" spans="1:10" ht="13.5">
      <c r="A20" s="420"/>
      <c r="B20" s="636"/>
      <c r="C20" s="431" t="s">
        <v>1166</v>
      </c>
      <c r="D20" s="431"/>
      <c r="E20" s="431" t="s">
        <v>1167</v>
      </c>
      <c r="F20" s="408"/>
      <c r="G20" s="411">
        <v>1600000</v>
      </c>
      <c r="H20" s="482"/>
      <c r="I20" s="536"/>
      <c r="J20" s="471"/>
    </row>
    <row r="21" spans="1:10" ht="13.5">
      <c r="A21" s="420"/>
      <c r="B21" s="589"/>
      <c r="C21" s="431"/>
      <c r="D21" s="431"/>
      <c r="E21" s="431"/>
      <c r="F21" s="431"/>
      <c r="G21" s="462"/>
      <c r="H21" s="482"/>
      <c r="I21" s="536"/>
      <c r="J21" s="471"/>
    </row>
    <row r="22" spans="1:10" ht="15" customHeight="1">
      <c r="A22" s="420"/>
      <c r="B22" s="589"/>
      <c r="C22" s="431"/>
      <c r="D22" s="434"/>
      <c r="E22" s="433"/>
      <c r="F22" s="433"/>
      <c r="G22" s="480">
        <f>SUM(G19:G21)</f>
        <v>1600000</v>
      </c>
      <c r="H22" s="482"/>
      <c r="I22" s="536"/>
      <c r="J22" s="471"/>
    </row>
    <row r="23" spans="1:10" ht="15" hidden="1" customHeight="1">
      <c r="A23" s="420"/>
      <c r="B23" s="589"/>
      <c r="C23" s="435" t="s">
        <v>512</v>
      </c>
      <c r="D23" s="436"/>
      <c r="E23" s="436"/>
      <c r="F23" s="436"/>
      <c r="G23" s="437"/>
      <c r="H23" s="482"/>
      <c r="I23" s="536"/>
      <c r="J23" s="471"/>
    </row>
    <row r="24" spans="1:10" ht="15" hidden="1" customHeight="1">
      <c r="A24" s="420"/>
      <c r="B24" s="589"/>
      <c r="G24" s="410"/>
      <c r="H24" s="482"/>
      <c r="I24" s="536"/>
      <c r="J24" s="471"/>
    </row>
    <row r="25" spans="1:10" ht="15" hidden="1" customHeight="1">
      <c r="A25" s="420"/>
      <c r="B25" s="589"/>
      <c r="G25" s="410"/>
      <c r="H25" s="482"/>
      <c r="I25" s="536"/>
      <c r="J25" s="471"/>
    </row>
    <row r="26" spans="1:10" ht="15" hidden="1" customHeight="1">
      <c r="A26" s="420"/>
      <c r="B26" s="589"/>
      <c r="C26" s="436" t="s">
        <v>846</v>
      </c>
      <c r="D26" s="436"/>
      <c r="E26" s="415"/>
      <c r="F26" s="438"/>
      <c r="G26" s="437"/>
      <c r="H26" s="482"/>
      <c r="I26" s="536"/>
      <c r="J26" s="471"/>
    </row>
    <row r="27" spans="1:10" ht="15" hidden="1" customHeight="1">
      <c r="A27" s="420"/>
      <c r="B27" s="589"/>
      <c r="C27" s="432" t="s">
        <v>847</v>
      </c>
      <c r="D27" s="415"/>
      <c r="E27" s="415"/>
      <c r="F27" s="461">
        <f>ROUND(IF(F26/3&gt;15000,15000,F26/3),0)</f>
        <v>0</v>
      </c>
      <c r="G27" s="447">
        <f>F26-F27</f>
        <v>0</v>
      </c>
      <c r="H27" s="482"/>
      <c r="I27" s="536"/>
      <c r="J27" s="471"/>
    </row>
    <row r="28" spans="1:10" ht="15" hidden="1" customHeight="1">
      <c r="A28" s="420"/>
      <c r="B28" s="589"/>
      <c r="C28" s="415"/>
      <c r="D28" s="415"/>
      <c r="E28" s="415"/>
      <c r="F28" s="415"/>
      <c r="G28" s="480">
        <f>SUM(G24:G27)</f>
        <v>0</v>
      </c>
      <c r="H28" s="484"/>
      <c r="J28" s="472"/>
    </row>
    <row r="29" spans="1:10" ht="15" customHeight="1">
      <c r="A29" s="420"/>
      <c r="B29" s="589"/>
      <c r="C29" s="415"/>
      <c r="D29" s="415"/>
      <c r="E29" s="415"/>
      <c r="F29" s="415"/>
      <c r="G29" s="437"/>
      <c r="H29" s="482">
        <f>G22+G28</f>
        <v>1600000</v>
      </c>
      <c r="I29" s="537">
        <f>IF(H29&lt;&gt;0,0,"NIL")</f>
        <v>0</v>
      </c>
      <c r="J29" s="472"/>
    </row>
    <row r="30" spans="1:10" ht="15" hidden="1" customHeight="1">
      <c r="A30" s="420"/>
      <c r="B30" s="589"/>
      <c r="C30" s="439" t="s">
        <v>564</v>
      </c>
      <c r="D30" s="436"/>
      <c r="E30" s="436"/>
      <c r="F30" s="440"/>
      <c r="G30" s="437"/>
      <c r="H30" s="484"/>
      <c r="J30" s="472"/>
    </row>
    <row r="31" spans="1:10" ht="12.75" hidden="1" customHeight="1">
      <c r="A31" s="420"/>
      <c r="B31" s="421"/>
      <c r="C31" s="409" t="s">
        <v>851</v>
      </c>
      <c r="D31" s="436"/>
      <c r="E31" s="441"/>
      <c r="F31" s="442"/>
      <c r="G31" s="430"/>
      <c r="H31" s="482"/>
      <c r="I31" s="536"/>
      <c r="J31" s="471"/>
    </row>
    <row r="32" spans="1:10" ht="12.75" hidden="1" customHeight="1">
      <c r="A32" s="420"/>
      <c r="B32" s="421"/>
      <c r="C32" s="409" t="s">
        <v>981</v>
      </c>
      <c r="D32" s="436"/>
      <c r="E32" s="441"/>
      <c r="F32" s="442"/>
      <c r="G32" s="430"/>
      <c r="H32" s="482"/>
      <c r="I32" s="536"/>
      <c r="J32" s="471"/>
    </row>
    <row r="33" spans="1:10" ht="12.75" hidden="1" customHeight="1">
      <c r="A33" s="420"/>
      <c r="B33" s="421"/>
      <c r="C33" s="409" t="s">
        <v>982</v>
      </c>
      <c r="D33" s="436"/>
      <c r="E33" s="441"/>
      <c r="F33" s="442"/>
      <c r="G33" s="430"/>
      <c r="H33" s="482"/>
      <c r="I33" s="536"/>
      <c r="J33" s="471"/>
    </row>
    <row r="34" spans="1:10" ht="12.75" hidden="1" customHeight="1">
      <c r="A34" s="420"/>
      <c r="B34" s="421"/>
      <c r="C34" s="409" t="s">
        <v>983</v>
      </c>
      <c r="D34" s="436"/>
      <c r="E34" s="415"/>
      <c r="F34" s="442"/>
      <c r="G34" s="430"/>
      <c r="H34" s="482"/>
      <c r="I34" s="536"/>
      <c r="J34" s="471"/>
    </row>
    <row r="35" spans="1:10" ht="12.75" hidden="1" customHeight="1" thickBot="1">
      <c r="A35" s="420"/>
      <c r="B35" s="428"/>
      <c r="C35" s="435"/>
      <c r="D35" s="436"/>
      <c r="E35" s="415"/>
      <c r="F35" s="443">
        <f>SUM(F31:F34)</f>
        <v>0</v>
      </c>
      <c r="G35" s="437"/>
      <c r="H35" s="484"/>
      <c r="J35" s="471"/>
    </row>
    <row r="36" spans="1:10" ht="12.75" customHeight="1">
      <c r="A36" s="420"/>
      <c r="B36" s="428"/>
      <c r="C36" s="435"/>
      <c r="D36" s="436"/>
      <c r="E36" s="415"/>
      <c r="F36" s="444"/>
      <c r="G36" s="437"/>
      <c r="H36" s="484"/>
      <c r="I36" s="538"/>
      <c r="J36" s="534"/>
    </row>
    <row r="37" spans="1:10" ht="15" customHeight="1">
      <c r="A37" s="420"/>
      <c r="B37" s="421" t="s">
        <v>501</v>
      </c>
      <c r="C37" s="415"/>
      <c r="D37" s="415"/>
      <c r="E37" s="428"/>
      <c r="F37" s="428"/>
      <c r="G37" s="424"/>
      <c r="H37" s="485">
        <f>SUM(H5:H35)</f>
        <v>6302000</v>
      </c>
      <c r="I37" s="537">
        <f>IF(H37&lt;&gt;0,0,"NIL")</f>
        <v>0</v>
      </c>
      <c r="J37" s="472"/>
    </row>
    <row r="38" spans="1:10" ht="15" customHeight="1">
      <c r="A38" s="420"/>
      <c r="B38" s="445" t="s">
        <v>999</v>
      </c>
      <c r="C38" s="415"/>
      <c r="D38" s="415"/>
      <c r="E38" s="415"/>
      <c r="F38" s="415"/>
      <c r="G38" s="415"/>
      <c r="H38" s="482"/>
      <c r="I38" s="536"/>
      <c r="J38" s="471"/>
    </row>
    <row r="39" spans="1:10" ht="12.75" customHeight="1">
      <c r="A39" s="420"/>
      <c r="B39" s="446"/>
      <c r="C39" s="435" t="s">
        <v>1080</v>
      </c>
      <c r="D39" s="415"/>
      <c r="E39" s="415"/>
      <c r="F39" s="415"/>
      <c r="G39" s="423"/>
      <c r="H39" s="482"/>
      <c r="I39" s="536"/>
      <c r="J39" s="471"/>
    </row>
    <row r="40" spans="1:10" ht="12.75" hidden="1" customHeight="1">
      <c r="A40" s="420"/>
      <c r="B40" s="446"/>
      <c r="C40" s="431" t="s">
        <v>510</v>
      </c>
      <c r="D40" s="415"/>
      <c r="E40" s="415"/>
      <c r="F40" s="411"/>
      <c r="G40" s="423"/>
      <c r="H40" s="482"/>
      <c r="I40" s="536"/>
      <c r="J40" s="471"/>
    </row>
    <row r="41" spans="1:10" ht="12.75" hidden="1" customHeight="1">
      <c r="A41" s="420"/>
      <c r="B41" s="446"/>
      <c r="C41" s="431" t="s">
        <v>1081</v>
      </c>
      <c r="D41" s="415"/>
      <c r="E41" s="415"/>
      <c r="F41" s="411"/>
      <c r="G41" s="423"/>
      <c r="H41" s="482"/>
      <c r="I41" s="536"/>
      <c r="J41" s="471"/>
    </row>
    <row r="42" spans="1:10" ht="12.75" hidden="1" customHeight="1">
      <c r="A42" s="420"/>
      <c r="B42" s="446"/>
      <c r="C42" s="431" t="s">
        <v>985</v>
      </c>
      <c r="D42" s="415"/>
      <c r="E42" s="415"/>
      <c r="F42" s="411"/>
      <c r="G42" s="423"/>
      <c r="H42" s="482"/>
      <c r="I42" s="536"/>
      <c r="J42" s="471"/>
    </row>
    <row r="43" spans="1:10" ht="12.75" hidden="1" customHeight="1">
      <c r="A43" s="420"/>
      <c r="B43" s="446"/>
      <c r="C43" s="431" t="s">
        <v>984</v>
      </c>
      <c r="D43" s="415"/>
      <c r="E43" s="415"/>
      <c r="F43" s="411"/>
      <c r="G43" s="423"/>
      <c r="H43" s="482"/>
      <c r="I43" s="536"/>
      <c r="J43" s="471"/>
    </row>
    <row r="44" spans="1:10" ht="12.75" customHeight="1">
      <c r="A44" s="420"/>
      <c r="B44" s="446"/>
      <c r="C44" s="431" t="s">
        <v>509</v>
      </c>
      <c r="D44" s="415"/>
      <c r="E44" s="415"/>
      <c r="F44" s="411">
        <v>150000</v>
      </c>
      <c r="G44" s="423"/>
      <c r="H44" s="482"/>
      <c r="I44" s="536"/>
      <c r="J44" s="471"/>
    </row>
    <row r="45" spans="1:10" ht="12.75" hidden="1" customHeight="1">
      <c r="A45" s="420"/>
      <c r="B45" s="446"/>
      <c r="C45" s="431" t="s">
        <v>986</v>
      </c>
      <c r="D45" s="415"/>
      <c r="E45" s="415"/>
      <c r="F45" s="411"/>
      <c r="G45" s="423"/>
      <c r="H45" s="482"/>
      <c r="I45" s="536"/>
      <c r="J45" s="471"/>
    </row>
    <row r="46" spans="1:10" ht="12.75" hidden="1" customHeight="1">
      <c r="A46" s="420"/>
      <c r="B46" s="446"/>
      <c r="C46" s="431" t="s">
        <v>987</v>
      </c>
      <c r="D46" s="415"/>
      <c r="E46" s="415"/>
      <c r="F46" s="411"/>
      <c r="G46" s="423"/>
      <c r="H46" s="482"/>
      <c r="I46" s="536"/>
      <c r="J46" s="471"/>
    </row>
    <row r="47" spans="1:10" ht="12.75" hidden="1" customHeight="1">
      <c r="A47" s="420"/>
      <c r="B47" s="446"/>
      <c r="C47" s="431" t="s">
        <v>988</v>
      </c>
      <c r="D47" s="415"/>
      <c r="E47" s="415"/>
      <c r="F47" s="411"/>
      <c r="G47" s="423"/>
      <c r="H47" s="482"/>
      <c r="I47" s="536"/>
      <c r="J47" s="471"/>
    </row>
    <row r="48" spans="1:10" ht="12.75" hidden="1" customHeight="1">
      <c r="A48" s="420"/>
      <c r="B48" s="446"/>
      <c r="C48" s="431" t="s">
        <v>989</v>
      </c>
      <c r="D48" s="415"/>
      <c r="E48" s="415"/>
      <c r="F48" s="411"/>
      <c r="G48" s="423"/>
      <c r="H48" s="482"/>
      <c r="I48" s="536"/>
      <c r="J48" s="471"/>
    </row>
    <row r="49" spans="1:10" ht="12.75" customHeight="1">
      <c r="A49" s="420"/>
      <c r="B49" s="446"/>
      <c r="C49" s="431"/>
      <c r="D49" s="415"/>
      <c r="E49" s="415"/>
      <c r="F49" s="411"/>
      <c r="G49" s="423"/>
      <c r="H49" s="482"/>
      <c r="I49" s="536"/>
      <c r="J49" s="471"/>
    </row>
    <row r="50" spans="1:10" ht="15" customHeight="1">
      <c r="A50" s="420"/>
      <c r="B50" s="446"/>
      <c r="C50" s="431"/>
      <c r="D50" s="415"/>
      <c r="E50" s="415"/>
      <c r="F50" s="448">
        <f>SUM(F40:F49)</f>
        <v>150000</v>
      </c>
      <c r="G50" s="415">
        <f>IF(F50&gt;150000,150000,F50)</f>
        <v>150000</v>
      </c>
      <c r="H50" s="482"/>
      <c r="I50" s="536"/>
      <c r="J50" s="471"/>
    </row>
    <row r="51" spans="1:10" ht="15" customHeight="1">
      <c r="A51" s="420"/>
      <c r="B51" s="446"/>
      <c r="C51" s="449" t="s">
        <v>1079</v>
      </c>
      <c r="D51" s="415"/>
      <c r="E51" s="415"/>
      <c r="F51" s="450"/>
      <c r="G51" s="411">
        <v>50000</v>
      </c>
      <c r="H51" s="482"/>
      <c r="I51" s="536"/>
      <c r="J51" s="471"/>
    </row>
    <row r="52" spans="1:10" ht="15" hidden="1" customHeight="1">
      <c r="A52" s="420"/>
      <c r="B52" s="446"/>
      <c r="C52" s="449" t="s">
        <v>1078</v>
      </c>
      <c r="D52" s="415"/>
      <c r="E52" s="415"/>
      <c r="F52" s="450"/>
      <c r="G52" s="411"/>
      <c r="H52" s="482"/>
      <c r="I52" s="536"/>
      <c r="J52" s="471"/>
    </row>
    <row r="53" spans="1:10" ht="15" customHeight="1">
      <c r="A53" s="420"/>
      <c r="B53" s="446"/>
      <c r="C53" s="449" t="s">
        <v>852</v>
      </c>
      <c r="D53" s="415"/>
      <c r="E53" s="666">
        <v>26000</v>
      </c>
      <c r="F53" s="450"/>
      <c r="G53" s="411">
        <v>25000</v>
      </c>
      <c r="H53" s="482"/>
      <c r="I53" s="536"/>
      <c r="J53" s="471"/>
    </row>
    <row r="54" spans="1:10" ht="15" hidden="1" customHeight="1">
      <c r="A54" s="420"/>
      <c r="B54" s="446"/>
      <c r="C54" s="449" t="s">
        <v>611</v>
      </c>
      <c r="D54" s="415"/>
      <c r="E54" s="415"/>
      <c r="F54" s="415"/>
      <c r="G54" s="411"/>
      <c r="H54" s="482"/>
      <c r="I54" s="536"/>
      <c r="J54" s="471"/>
    </row>
    <row r="55" spans="1:10" ht="15" customHeight="1">
      <c r="A55" s="420"/>
      <c r="B55" s="415"/>
      <c r="C55" s="449" t="s">
        <v>979</v>
      </c>
      <c r="D55" s="415"/>
      <c r="E55" s="428"/>
      <c r="F55" s="428"/>
      <c r="G55" s="447">
        <f>IF(G19&gt;10000, 10000, G19)</f>
        <v>0</v>
      </c>
      <c r="H55" s="482"/>
      <c r="I55" s="536"/>
      <c r="J55" s="471"/>
    </row>
    <row r="56" spans="1:10">
      <c r="A56" s="420"/>
      <c r="B56" s="415"/>
      <c r="C56" s="543" t="s">
        <v>853</v>
      </c>
      <c r="D56" s="415"/>
      <c r="E56" s="428"/>
      <c r="F56" s="428"/>
      <c r="G56" s="411"/>
      <c r="H56" s="482">
        <f>SUM(G50:G56)</f>
        <v>225000</v>
      </c>
      <c r="I56" s="537">
        <f>IF(H56&lt;&gt;0,0,"NIL")</f>
        <v>0</v>
      </c>
      <c r="J56" s="472"/>
    </row>
    <row r="57" spans="1:10" ht="15.75" customHeight="1" thickBot="1">
      <c r="A57" s="420"/>
      <c r="B57" s="451" t="s">
        <v>777</v>
      </c>
      <c r="C57" s="415"/>
      <c r="D57" s="415"/>
      <c r="E57" s="452">
        <f>IF((H37-H56)&lt;0,0,(H37-H56))</f>
        <v>6077000</v>
      </c>
      <c r="F57" s="453" t="s">
        <v>779</v>
      </c>
      <c r="G57" s="440"/>
      <c r="H57" s="486">
        <f>ROUND((E57/10),0)*10</f>
        <v>6077000</v>
      </c>
      <c r="I57" s="539">
        <f>IF(H57&lt;&gt;0,0,"NIL")</f>
        <v>0</v>
      </c>
      <c r="J57" s="475"/>
    </row>
    <row r="58" spans="1:10" ht="15" customHeight="1" thickTop="1">
      <c r="A58" s="420"/>
      <c r="B58" s="450" t="s">
        <v>778</v>
      </c>
      <c r="C58" s="415"/>
      <c r="D58" s="415"/>
      <c r="E58" s="444" t="s">
        <v>521</v>
      </c>
      <c r="F58" s="454" t="s">
        <v>522</v>
      </c>
      <c r="G58" s="444" t="s">
        <v>524</v>
      </c>
      <c r="H58" s="487"/>
      <c r="J58" s="471"/>
    </row>
    <row r="59" spans="1:10" ht="15" customHeight="1">
      <c r="A59" s="420"/>
      <c r="B59" s="530">
        <f>+Data!D3</f>
        <v>0</v>
      </c>
      <c r="C59" s="408" t="s">
        <v>518</v>
      </c>
      <c r="D59" s="415"/>
      <c r="E59" s="455">
        <f>E57-E60</f>
        <v>6077000</v>
      </c>
      <c r="F59" s="456"/>
      <c r="G59" s="415">
        <f>IF(+Data!D2="Senior",ROUND(IF(E59&gt;1000000,(((E59-1000000)*0.3)+120000),IF(E59&gt;500000,(((E59-500000)*0.2)+20000),IF(E59&gt;300000,((E59-300000)*0.1),0))),0),ROUND(IF(E59&gt;1000000,(((E59-1000000)*0.3)+125000),IF(E59&gt;500000,(((E59-500000)*0.2)+25000),IF(E59&gt;250000,((E59-250000)*0.1),0))),0))</f>
        <v>1648100</v>
      </c>
      <c r="H59" s="487"/>
      <c r="J59" s="471"/>
    </row>
    <row r="60" spans="1:10" ht="15" hidden="1" customHeight="1">
      <c r="A60" s="420"/>
      <c r="B60" s="450"/>
      <c r="C60" s="408" t="s">
        <v>519</v>
      </c>
      <c r="D60" s="415"/>
      <c r="E60" s="410"/>
      <c r="F60" s="457">
        <v>0.15</v>
      </c>
      <c r="G60" s="523"/>
      <c r="H60" s="484"/>
      <c r="J60" s="471"/>
    </row>
    <row r="61" spans="1:10" ht="15" hidden="1" customHeight="1">
      <c r="A61" s="420"/>
      <c r="B61" s="415"/>
      <c r="C61" s="415"/>
      <c r="D61" s="456"/>
      <c r="E61" s="428"/>
      <c r="F61" s="415"/>
      <c r="G61" s="526">
        <f>G59+G60</f>
        <v>1648100</v>
      </c>
      <c r="H61" s="488"/>
      <c r="I61" s="537"/>
      <c r="J61" s="472"/>
    </row>
    <row r="62" spans="1:10" ht="15" customHeight="1">
      <c r="A62" s="420"/>
      <c r="C62" s="524" t="s">
        <v>1015</v>
      </c>
      <c r="D62" s="456"/>
      <c r="E62" s="428"/>
      <c r="F62" s="415"/>
      <c r="G62" s="527">
        <f>IF(H57&gt;500000,0,IF(G61&gt;2000,2000,G61))</f>
        <v>0</v>
      </c>
      <c r="H62" s="489">
        <f>G61-G62</f>
        <v>1648100</v>
      </c>
      <c r="I62" s="537">
        <f>IF(H62&lt;&gt;0,0,"NIL")</f>
        <v>0</v>
      </c>
      <c r="J62" s="472"/>
    </row>
    <row r="63" spans="1:10" ht="15" customHeight="1">
      <c r="A63" s="420"/>
      <c r="B63" s="408" t="s">
        <v>774</v>
      </c>
      <c r="C63" s="415"/>
      <c r="D63" s="456"/>
      <c r="E63" s="428"/>
      <c r="F63" s="415"/>
      <c r="G63" s="428"/>
      <c r="H63" s="489">
        <f>ROUND((H62)*0.02,0)</f>
        <v>32962</v>
      </c>
      <c r="I63" s="537">
        <f>IF(H63&lt;&gt;0,0,"NIL")</f>
        <v>0</v>
      </c>
      <c r="J63" s="472"/>
    </row>
    <row r="64" spans="1:10" ht="15" customHeight="1">
      <c r="A64" s="420"/>
      <c r="B64" s="408" t="s">
        <v>775</v>
      </c>
      <c r="C64" s="415"/>
      <c r="D64" s="456"/>
      <c r="E64" s="458"/>
      <c r="F64" s="415"/>
      <c r="G64" s="428"/>
      <c r="H64" s="528">
        <f>ROUND((H62)*0.01,0)</f>
        <v>16481</v>
      </c>
      <c r="I64" s="540">
        <f>IF(H64&lt;&gt;0,0,"NIL")</f>
        <v>0</v>
      </c>
      <c r="J64" s="474"/>
    </row>
    <row r="65" spans="1:11" ht="15" customHeight="1">
      <c r="A65" s="420"/>
      <c r="B65" s="450" t="s">
        <v>565</v>
      </c>
      <c r="C65" s="415"/>
      <c r="D65" s="456"/>
      <c r="E65" s="458"/>
      <c r="F65" s="415"/>
      <c r="G65" s="428"/>
      <c r="H65" s="488">
        <f>SUM(H62:H64)</f>
        <v>1697543</v>
      </c>
      <c r="I65" s="537"/>
      <c r="J65" s="472"/>
    </row>
    <row r="66" spans="1:11" ht="15" hidden="1" customHeight="1">
      <c r="A66" s="420"/>
      <c r="B66" s="427"/>
      <c r="C66" s="428"/>
      <c r="D66" s="428"/>
      <c r="E66" s="428"/>
      <c r="F66" s="428"/>
      <c r="G66" s="428"/>
      <c r="H66" s="528"/>
      <c r="I66" s="540"/>
      <c r="J66" s="473"/>
    </row>
    <row r="67" spans="1:11" ht="15" hidden="1" customHeight="1">
      <c r="A67" s="420"/>
      <c r="B67" s="450"/>
      <c r="C67" s="428"/>
      <c r="D67" s="428"/>
      <c r="E67" s="428"/>
      <c r="F67" s="428"/>
      <c r="G67" s="428"/>
      <c r="H67" s="491">
        <f>H65+H66</f>
        <v>1697543</v>
      </c>
      <c r="I67" s="537"/>
      <c r="J67" s="472"/>
    </row>
    <row r="68" spans="1:11" ht="15" customHeight="1">
      <c r="A68" s="420"/>
      <c r="B68" s="415" t="s">
        <v>523</v>
      </c>
      <c r="C68" s="428"/>
      <c r="D68" s="428"/>
      <c r="E68" s="428"/>
      <c r="F68" s="428"/>
      <c r="G68" s="428"/>
      <c r="H68" s="492">
        <f>IF(Data!E2&gt;19814, Intt!I1, IF(H14&gt;0, Intt!I1,0))</f>
        <v>0</v>
      </c>
      <c r="I68" s="540" t="str">
        <f>IF(H68&lt;&gt;0,0,"NIL")</f>
        <v>NIL</v>
      </c>
      <c r="J68" s="473"/>
    </row>
    <row r="69" spans="1:11" ht="15" customHeight="1">
      <c r="A69" s="420"/>
      <c r="B69" s="450" t="s">
        <v>768</v>
      </c>
      <c r="C69" s="428"/>
      <c r="D69" s="428"/>
      <c r="E69" s="428"/>
      <c r="F69" s="428"/>
      <c r="G69" s="428"/>
      <c r="H69" s="490">
        <f>H67+H68</f>
        <v>1697543</v>
      </c>
      <c r="I69" s="537">
        <f>IF(H69&lt;&gt;0,0,"NIL")</f>
        <v>0</v>
      </c>
      <c r="J69" s="472"/>
    </row>
    <row r="70" spans="1:11" ht="15" customHeight="1">
      <c r="A70" s="420"/>
      <c r="B70" s="421" t="s">
        <v>571</v>
      </c>
      <c r="C70" s="428"/>
      <c r="D70" s="428"/>
      <c r="E70" s="428"/>
      <c r="F70" s="428"/>
      <c r="G70" s="428"/>
      <c r="H70" s="490"/>
      <c r="I70" s="537"/>
      <c r="J70" s="471"/>
    </row>
    <row r="71" spans="1:11" ht="15" customHeight="1">
      <c r="A71" s="420"/>
      <c r="B71" s="667">
        <v>42289</v>
      </c>
      <c r="C71" s="1115" t="s">
        <v>993</v>
      </c>
      <c r="D71" s="1115"/>
      <c r="E71" s="1115"/>
      <c r="F71" s="1115"/>
      <c r="G71" s="447">
        <v>90000</v>
      </c>
      <c r="H71" s="482"/>
      <c r="I71" s="536"/>
      <c r="J71" s="472"/>
    </row>
    <row r="72" spans="1:11" ht="15" customHeight="1">
      <c r="A72" s="420"/>
      <c r="B72" s="588">
        <f>SUM(G71:G74)</f>
        <v>1460870</v>
      </c>
      <c r="C72" s="1115" t="s">
        <v>570</v>
      </c>
      <c r="D72" s="1115"/>
      <c r="E72" s="1115"/>
      <c r="F72" s="1115"/>
      <c r="G72" s="410">
        <v>1210870</v>
      </c>
      <c r="H72" s="482"/>
      <c r="I72" s="536"/>
      <c r="J72" s="472"/>
    </row>
    <row r="73" spans="1:11" ht="12.75" customHeight="1">
      <c r="A73" s="420"/>
      <c r="B73" s="459"/>
      <c r="C73" s="1115" t="s">
        <v>1124</v>
      </c>
      <c r="D73" s="1115"/>
      <c r="E73" s="1115"/>
      <c r="F73" s="1115"/>
      <c r="G73" s="410">
        <v>160000</v>
      </c>
      <c r="H73" s="482"/>
      <c r="I73" s="536"/>
      <c r="J73" s="472"/>
    </row>
    <row r="74" spans="1:11" ht="12.75" hidden="1" customHeight="1">
      <c r="A74" s="420"/>
      <c r="B74" s="459"/>
      <c r="C74" s="1115"/>
      <c r="D74" s="1115"/>
      <c r="E74" s="1115"/>
      <c r="F74" s="1115"/>
      <c r="G74" s="410"/>
      <c r="H74" s="482"/>
      <c r="I74" s="536"/>
      <c r="J74" s="472"/>
    </row>
    <row r="75" spans="1:11" ht="12.75" customHeight="1" thickBot="1">
      <c r="A75" s="414"/>
      <c r="B75" s="477"/>
      <c r="C75" s="1116" t="s">
        <v>850</v>
      </c>
      <c r="D75" s="1116"/>
      <c r="E75" s="1116"/>
      <c r="F75" s="1116"/>
      <c r="G75" s="481">
        <v>240000</v>
      </c>
      <c r="H75" s="493">
        <f>SUM(G71:G75)</f>
        <v>1700870</v>
      </c>
      <c r="I75" s="541">
        <f>IF(H75&lt;&gt;0,0,"NIL")</f>
        <v>0</v>
      </c>
      <c r="J75" s="478"/>
    </row>
    <row r="76" spans="1:11" ht="18" customHeight="1" thickBot="1">
      <c r="A76" s="494"/>
      <c r="B76" s="495" t="str">
        <f>IF(H76=0,"TAX  PAYABLE / REFUND ",IF(H76&lt;0,"REFUND","TAX  PAYABLE"))</f>
        <v>REFUND</v>
      </c>
      <c r="C76" s="496"/>
      <c r="D76" s="496"/>
      <c r="E76" s="497"/>
      <c r="F76" s="498" t="s">
        <v>776</v>
      </c>
      <c r="G76" s="497"/>
      <c r="H76" s="499">
        <f>ROUND((H69-H75)/10,0)*10</f>
        <v>-3330</v>
      </c>
      <c r="I76" s="542">
        <f>IF(H76&lt;&gt;0,0,"NIL")</f>
        <v>0</v>
      </c>
      <c r="J76" s="500"/>
    </row>
    <row r="77" spans="1:11">
      <c r="A77" s="567"/>
      <c r="B77" s="570"/>
      <c r="C77" s="570"/>
      <c r="D77" s="570"/>
      <c r="E77" s="570"/>
      <c r="F77" s="570"/>
      <c r="G77" s="570"/>
      <c r="H77" s="570"/>
      <c r="I77" s="568"/>
      <c r="J77" s="569"/>
      <c r="K77" s="554"/>
    </row>
    <row r="78" spans="1:11">
      <c r="A78" s="567"/>
      <c r="B78" s="554"/>
      <c r="C78" s="554"/>
      <c r="D78" s="554"/>
      <c r="E78" s="554"/>
      <c r="F78" s="554"/>
      <c r="G78" s="554"/>
      <c r="H78" s="554"/>
      <c r="I78" s="568"/>
      <c r="J78" s="569"/>
      <c r="K78" s="554"/>
    </row>
    <row r="79" spans="1:11">
      <c r="A79" s="567"/>
      <c r="B79" s="554"/>
      <c r="C79" s="554"/>
      <c r="D79" s="554"/>
      <c r="E79" s="554"/>
      <c r="F79" s="554"/>
      <c r="G79" s="554"/>
      <c r="H79" s="554"/>
      <c r="I79" s="568"/>
      <c r="J79" s="569"/>
      <c r="K79" s="554"/>
    </row>
    <row r="80" spans="1:11">
      <c r="A80" s="567"/>
      <c r="B80" s="554"/>
      <c r="C80" s="554"/>
      <c r="D80" s="554"/>
      <c r="E80" s="554"/>
      <c r="F80" s="554"/>
      <c r="G80" s="554"/>
      <c r="H80" s="554"/>
      <c r="I80" s="568"/>
      <c r="J80" s="569"/>
      <c r="K80" s="554"/>
    </row>
    <row r="81" spans="1:11">
      <c r="A81" s="567"/>
      <c r="B81" s="554"/>
      <c r="C81" s="554"/>
      <c r="D81" s="554"/>
      <c r="E81" s="554"/>
      <c r="F81" s="554"/>
      <c r="G81" s="554"/>
      <c r="H81" s="554"/>
      <c r="I81" s="568"/>
      <c r="J81" s="569"/>
      <c r="K81" s="554"/>
    </row>
    <row r="82" spans="1:11">
      <c r="A82" s="567"/>
      <c r="B82" s="554"/>
      <c r="C82" s="554"/>
      <c r="D82" s="554"/>
      <c r="E82" s="554"/>
      <c r="F82" s="554"/>
      <c r="G82" s="554"/>
      <c r="H82" s="554"/>
      <c r="I82" s="568"/>
      <c r="J82" s="569"/>
      <c r="K82" s="554"/>
    </row>
  </sheetData>
  <mergeCells count="7">
    <mergeCell ref="C75:F75"/>
    <mergeCell ref="A1:J1"/>
    <mergeCell ref="A2:J2"/>
    <mergeCell ref="C71:F71"/>
    <mergeCell ref="C72:F72"/>
    <mergeCell ref="C73:F73"/>
    <mergeCell ref="C74:F74"/>
  </mergeCells>
  <conditionalFormatting sqref="F60">
    <cfRule type="expression" dxfId="9" priority="1" stopIfTrue="1">
      <formula>"""$E$55=0"""</formula>
    </cfRule>
  </conditionalFormatting>
  <dataValidations count="2">
    <dataValidation type="list" errorStyle="information" allowBlank="1" showInputMessage="1" showErrorMessage="1" sqref="D4">
      <formula1>"SALARY RECEIVED, PENSION RECEIVED"</formula1>
    </dataValidation>
    <dataValidation type="list" errorStyle="information" allowBlank="1" showInputMessage="1" showErrorMessage="1" sqref="C42">
      <formula1>"ICICI PRUDENTIAL PREM, BAJAJ ALLIANZ LIFE INSURANCE PREM., LIC  PREMIUM, ULIP PREMIUM"</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81"/>
  <sheetViews>
    <sheetView showZeros="0" topLeftCell="A44"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9.42578125" style="416" customWidth="1"/>
    <col min="8" max="8" width="11.140625" style="416" customWidth="1"/>
    <col min="9" max="9" width="4.28515625" style="526" customWidth="1"/>
    <col min="10" max="10" width="1.85546875" style="476" customWidth="1"/>
    <col min="11" max="16384" width="9.140625" style="416"/>
  </cols>
  <sheetData>
    <row r="1" spans="1:10" s="413" customFormat="1" ht="18.75" customHeight="1">
      <c r="A1" s="1108" t="s">
        <v>1083</v>
      </c>
      <c r="B1" s="1109"/>
      <c r="C1" s="1109"/>
      <c r="D1" s="1109"/>
      <c r="E1" s="1109"/>
      <c r="F1" s="1109"/>
      <c r="G1" s="1109"/>
      <c r="H1" s="1109"/>
      <c r="I1" s="1109"/>
      <c r="J1" s="1110"/>
    </row>
    <row r="2" spans="1:10" ht="18" customHeight="1" thickBot="1">
      <c r="A2" s="1111" t="s">
        <v>562</v>
      </c>
      <c r="B2" s="1112"/>
      <c r="C2" s="1112"/>
      <c r="D2" s="1112"/>
      <c r="E2" s="1112"/>
      <c r="F2" s="1112"/>
      <c r="G2" s="1112"/>
      <c r="H2" s="1112"/>
      <c r="I2" s="1112"/>
      <c r="J2" s="1113"/>
    </row>
    <row r="3" spans="1:10" ht="20.100000000000001" customHeight="1">
      <c r="A3" s="417"/>
      <c r="B3" s="418" t="s">
        <v>994</v>
      </c>
      <c r="C3" s="419"/>
      <c r="D3" s="419"/>
      <c r="E3" s="419"/>
      <c r="F3" s="419"/>
      <c r="G3" s="419"/>
      <c r="H3" s="501" t="s">
        <v>1013</v>
      </c>
      <c r="I3" s="535"/>
      <c r="J3" s="470"/>
    </row>
    <row r="4" spans="1:10" ht="15" customHeight="1">
      <c r="A4" s="420"/>
      <c r="B4" s="421"/>
      <c r="C4" s="422" t="s">
        <v>1082</v>
      </c>
      <c r="D4" s="422"/>
      <c r="E4" s="415"/>
      <c r="F4" s="423"/>
      <c r="G4" s="411">
        <v>1140000</v>
      </c>
      <c r="H4" s="482"/>
      <c r="I4" s="536"/>
      <c r="J4" s="471"/>
    </row>
    <row r="5" spans="1:10" ht="15" customHeight="1">
      <c r="A5" s="420"/>
      <c r="B5" s="415"/>
      <c r="C5" s="408" t="s">
        <v>848</v>
      </c>
      <c r="D5" s="415"/>
      <c r="E5" s="415"/>
      <c r="F5" s="415"/>
      <c r="G5" s="425"/>
      <c r="H5" s="482">
        <f>G4-G5</f>
        <v>1140000</v>
      </c>
      <c r="I5" s="537">
        <f>IF(H5&lt;&gt;0,0,"NIL")</f>
        <v>0</v>
      </c>
      <c r="J5" s="472"/>
    </row>
    <row r="6" spans="1:10" ht="15" customHeight="1">
      <c r="A6" s="420"/>
      <c r="B6" s="426" t="s">
        <v>995</v>
      </c>
      <c r="C6" s="415"/>
      <c r="D6" s="415"/>
      <c r="E6" s="525" t="s">
        <v>1014</v>
      </c>
      <c r="F6" s="423"/>
      <c r="G6" s="415"/>
      <c r="H6" s="482"/>
      <c r="I6" s="537"/>
      <c r="J6" s="472"/>
    </row>
    <row r="7" spans="1:10" ht="15" customHeight="1">
      <c r="A7" s="420"/>
      <c r="B7" s="415"/>
      <c r="C7" s="583" t="s">
        <v>1127</v>
      </c>
      <c r="D7" s="422"/>
      <c r="E7" s="427"/>
      <c r="F7" s="428"/>
      <c r="G7" s="411">
        <v>720000</v>
      </c>
      <c r="H7" s="482"/>
      <c r="I7" s="537"/>
      <c r="J7" s="472"/>
    </row>
    <row r="8" spans="1:10" ht="15" customHeight="1">
      <c r="A8" s="420"/>
      <c r="B8" s="415"/>
      <c r="C8" s="408" t="s">
        <v>769</v>
      </c>
      <c r="D8" s="415"/>
      <c r="E8" s="415"/>
      <c r="F8" s="415"/>
      <c r="G8" s="479">
        <v>20000</v>
      </c>
      <c r="H8" s="482"/>
      <c r="I8" s="537"/>
      <c r="J8" s="472"/>
    </row>
    <row r="9" spans="1:10" ht="15" customHeight="1">
      <c r="A9" s="420"/>
      <c r="B9" s="415"/>
      <c r="C9" s="408"/>
      <c r="D9" s="415"/>
      <c r="E9" s="415"/>
      <c r="F9" s="415"/>
      <c r="G9" s="423">
        <f>IF((G7-G8)&lt;0,0,(G7-G8))</f>
        <v>700000</v>
      </c>
      <c r="H9" s="482"/>
      <c r="I9" s="537"/>
      <c r="J9" s="472"/>
    </row>
    <row r="10" spans="1:10" ht="15" customHeight="1">
      <c r="A10" s="420"/>
      <c r="B10" s="415"/>
      <c r="C10" s="590" t="s">
        <v>514</v>
      </c>
      <c r="D10" s="415"/>
      <c r="G10" s="423"/>
      <c r="H10" s="482"/>
      <c r="I10" s="537"/>
      <c r="J10" s="472"/>
    </row>
    <row r="11" spans="1:10" ht="15" customHeight="1">
      <c r="A11" s="420"/>
      <c r="B11" s="415"/>
      <c r="D11" s="415"/>
      <c r="E11" s="415" t="s">
        <v>1093</v>
      </c>
      <c r="F11" s="668">
        <f>G9*0.3</f>
        <v>210000</v>
      </c>
      <c r="G11" s="592">
        <f>+F11</f>
        <v>210000</v>
      </c>
      <c r="H11" s="482">
        <f>G9-G11</f>
        <v>490000</v>
      </c>
      <c r="I11" s="537">
        <f>IF(H11&lt;&gt;0,0,"NIL")</f>
        <v>0</v>
      </c>
      <c r="J11" s="472"/>
    </row>
    <row r="12" spans="1:10" ht="17.25" hidden="1" customHeight="1">
      <c r="A12" s="420"/>
      <c r="B12" s="421" t="s">
        <v>996</v>
      </c>
      <c r="C12" s="408"/>
      <c r="D12" s="415"/>
      <c r="E12" s="429"/>
      <c r="F12" s="423"/>
      <c r="G12" s="415"/>
      <c r="H12" s="482"/>
      <c r="I12" s="537"/>
      <c r="J12" s="472"/>
    </row>
    <row r="13" spans="1:10" ht="15" hidden="1" customHeight="1">
      <c r="A13" s="420"/>
      <c r="B13" s="415"/>
      <c r="C13" s="408" t="s">
        <v>991</v>
      </c>
      <c r="D13" s="415"/>
      <c r="E13" s="429"/>
      <c r="F13" s="423"/>
      <c r="G13" s="411"/>
      <c r="H13" s="482"/>
      <c r="I13" s="537"/>
      <c r="J13" s="472"/>
    </row>
    <row r="14" spans="1:10" ht="15" hidden="1" customHeight="1">
      <c r="A14" s="420"/>
      <c r="B14" s="415"/>
      <c r="C14" s="408" t="s">
        <v>992</v>
      </c>
      <c r="D14" s="415"/>
      <c r="E14" s="429"/>
      <c r="F14" s="423"/>
      <c r="G14" s="479"/>
      <c r="H14" s="483">
        <f>G13-G14</f>
        <v>0</v>
      </c>
      <c r="I14" s="537" t="str">
        <f>IF(H14&lt;&gt;0,0,"NIL")</f>
        <v>NIL</v>
      </c>
      <c r="J14" s="472"/>
    </row>
    <row r="15" spans="1:10" ht="15" customHeight="1">
      <c r="A15" s="420"/>
      <c r="B15" s="421" t="s">
        <v>997</v>
      </c>
      <c r="C15" s="415"/>
      <c r="D15" s="415"/>
      <c r="E15" s="415"/>
      <c r="F15" s="415"/>
      <c r="G15" s="415"/>
      <c r="H15" s="482"/>
      <c r="I15" s="537"/>
      <c r="J15" s="472"/>
    </row>
    <row r="16" spans="1:10">
      <c r="A16" s="420"/>
      <c r="B16" s="415"/>
      <c r="C16" s="408" t="s">
        <v>498</v>
      </c>
      <c r="D16" s="415"/>
      <c r="E16" s="415"/>
      <c r="F16" s="415"/>
      <c r="G16" s="411"/>
      <c r="H16" s="482"/>
      <c r="I16" s="537"/>
      <c r="J16" s="472"/>
    </row>
    <row r="17" spans="1:10">
      <c r="A17" s="420"/>
      <c r="B17" s="415"/>
      <c r="C17" s="408" t="s">
        <v>77</v>
      </c>
      <c r="D17" s="415"/>
      <c r="E17" s="415"/>
      <c r="F17" s="415"/>
      <c r="G17" s="479"/>
      <c r="H17" s="482">
        <f>G16+G17</f>
        <v>0</v>
      </c>
      <c r="I17" s="537" t="str">
        <f>IF(H17&lt;&gt;0,0,"NIL")</f>
        <v>NIL</v>
      </c>
      <c r="J17" s="472"/>
    </row>
    <row r="18" spans="1:10" ht="20.100000000000001" customHeight="1">
      <c r="A18" s="420"/>
      <c r="B18" s="421" t="s">
        <v>998</v>
      </c>
      <c r="C18" s="415"/>
      <c r="D18" s="415"/>
      <c r="E18" s="415"/>
      <c r="F18" s="415"/>
      <c r="G18" s="415"/>
      <c r="H18" s="482"/>
      <c r="I18" s="536"/>
      <c r="J18" s="471"/>
    </row>
    <row r="19" spans="1:10" ht="13.5">
      <c r="A19" s="420"/>
      <c r="B19" s="636"/>
      <c r="C19" s="431"/>
      <c r="D19" s="431"/>
      <c r="E19" s="431"/>
      <c r="F19" s="415"/>
      <c r="G19" s="411"/>
      <c r="H19" s="482"/>
      <c r="I19" s="536"/>
      <c r="J19" s="471"/>
    </row>
    <row r="20" spans="1:10" ht="13.5">
      <c r="A20" s="420"/>
      <c r="B20" s="636"/>
      <c r="C20" s="431" t="s">
        <v>1168</v>
      </c>
      <c r="D20" s="431"/>
      <c r="E20" s="431"/>
      <c r="F20" s="408"/>
      <c r="G20" s="411">
        <v>800000</v>
      </c>
      <c r="H20" s="482"/>
      <c r="I20" s="536"/>
      <c r="J20" s="471"/>
    </row>
    <row r="21" spans="1:10" ht="13.5">
      <c r="A21" s="420"/>
      <c r="B21" s="589"/>
      <c r="C21" s="431"/>
      <c r="D21" s="431"/>
      <c r="E21" s="431"/>
      <c r="F21" s="431"/>
      <c r="G21" s="462"/>
      <c r="H21" s="482"/>
      <c r="I21" s="536"/>
      <c r="J21" s="471"/>
    </row>
    <row r="22" spans="1:10" ht="15" customHeight="1">
      <c r="A22" s="420"/>
      <c r="B22" s="589"/>
      <c r="C22" s="431"/>
      <c r="D22" s="434"/>
      <c r="E22" s="433"/>
      <c r="F22" s="433"/>
      <c r="G22" s="480">
        <f>SUM(G19:G21)</f>
        <v>800000</v>
      </c>
      <c r="H22" s="482"/>
      <c r="I22" s="536"/>
      <c r="J22" s="471"/>
    </row>
    <row r="23" spans="1:10" ht="15" hidden="1" customHeight="1">
      <c r="A23" s="420"/>
      <c r="B23" s="589"/>
      <c r="C23" s="435" t="s">
        <v>512</v>
      </c>
      <c r="D23" s="436"/>
      <c r="E23" s="436"/>
      <c r="F23" s="436"/>
      <c r="G23" s="437"/>
      <c r="H23" s="482"/>
      <c r="I23" s="536"/>
      <c r="J23" s="471"/>
    </row>
    <row r="24" spans="1:10" ht="15" hidden="1" customHeight="1">
      <c r="A24" s="420"/>
      <c r="B24" s="589"/>
      <c r="G24" s="410"/>
      <c r="H24" s="482"/>
      <c r="I24" s="536"/>
      <c r="J24" s="471"/>
    </row>
    <row r="25" spans="1:10" ht="15" hidden="1" customHeight="1">
      <c r="A25" s="420"/>
      <c r="B25" s="589"/>
      <c r="G25" s="410"/>
      <c r="H25" s="482"/>
      <c r="I25" s="536"/>
      <c r="J25" s="471"/>
    </row>
    <row r="26" spans="1:10" ht="15" hidden="1" customHeight="1">
      <c r="A26" s="420"/>
      <c r="B26" s="589"/>
      <c r="C26" s="436" t="s">
        <v>846</v>
      </c>
      <c r="D26" s="436"/>
      <c r="E26" s="415"/>
      <c r="F26" s="438"/>
      <c r="G26" s="437"/>
      <c r="H26" s="482"/>
      <c r="I26" s="536"/>
      <c r="J26" s="471"/>
    </row>
    <row r="27" spans="1:10" ht="15" hidden="1" customHeight="1">
      <c r="A27" s="420"/>
      <c r="B27" s="589"/>
      <c r="C27" s="432" t="s">
        <v>847</v>
      </c>
      <c r="D27" s="415"/>
      <c r="E27" s="415"/>
      <c r="F27" s="461">
        <f>ROUND(IF(F26/3&gt;15000,15000,F26/3),0)</f>
        <v>0</v>
      </c>
      <c r="G27" s="447">
        <f>F26-F27</f>
        <v>0</v>
      </c>
      <c r="H27" s="482"/>
      <c r="I27" s="536"/>
      <c r="J27" s="471"/>
    </row>
    <row r="28" spans="1:10" ht="15" hidden="1" customHeight="1">
      <c r="A28" s="420"/>
      <c r="B28" s="589"/>
      <c r="C28" s="415"/>
      <c r="D28" s="415"/>
      <c r="E28" s="415"/>
      <c r="F28" s="415"/>
      <c r="G28" s="480">
        <f>SUM(G24:G27)</f>
        <v>0</v>
      </c>
      <c r="H28" s="484"/>
      <c r="J28" s="472"/>
    </row>
    <row r="29" spans="1:10" ht="15" customHeight="1">
      <c r="A29" s="420"/>
      <c r="B29" s="589"/>
      <c r="C29" s="415"/>
      <c r="D29" s="415"/>
      <c r="E29" s="415"/>
      <c r="F29" s="415"/>
      <c r="G29" s="437"/>
      <c r="H29" s="482">
        <f>G22+G28</f>
        <v>800000</v>
      </c>
      <c r="I29" s="537">
        <f>IF(H29&lt;&gt;0,0,"NIL")</f>
        <v>0</v>
      </c>
      <c r="J29" s="472"/>
    </row>
    <row r="30" spans="1:10" ht="15" hidden="1" customHeight="1">
      <c r="A30" s="420"/>
      <c r="B30" s="589"/>
      <c r="C30" s="439" t="s">
        <v>564</v>
      </c>
      <c r="D30" s="436"/>
      <c r="E30" s="436"/>
      <c r="F30" s="440"/>
      <c r="G30" s="437"/>
      <c r="H30" s="484"/>
      <c r="J30" s="472"/>
    </row>
    <row r="31" spans="1:10" ht="12.75" hidden="1" customHeight="1">
      <c r="A31" s="420"/>
      <c r="B31" s="421"/>
      <c r="C31" s="409" t="s">
        <v>851</v>
      </c>
      <c r="D31" s="436"/>
      <c r="E31" s="441"/>
      <c r="F31" s="442"/>
      <c r="G31" s="430"/>
      <c r="H31" s="482"/>
      <c r="I31" s="536"/>
      <c r="J31" s="471"/>
    </row>
    <row r="32" spans="1:10" ht="12.75" hidden="1" customHeight="1">
      <c r="A32" s="420"/>
      <c r="B32" s="421"/>
      <c r="C32" s="409" t="s">
        <v>981</v>
      </c>
      <c r="D32" s="436"/>
      <c r="E32" s="441"/>
      <c r="F32" s="442"/>
      <c r="G32" s="430"/>
      <c r="H32" s="482"/>
      <c r="I32" s="536"/>
      <c r="J32" s="471"/>
    </row>
    <row r="33" spans="1:10" ht="12.75" hidden="1" customHeight="1">
      <c r="A33" s="420"/>
      <c r="B33" s="421"/>
      <c r="C33" s="409" t="s">
        <v>982</v>
      </c>
      <c r="D33" s="436"/>
      <c r="E33" s="441"/>
      <c r="F33" s="442"/>
      <c r="G33" s="430"/>
      <c r="H33" s="482"/>
      <c r="I33" s="536"/>
      <c r="J33" s="471"/>
    </row>
    <row r="34" spans="1:10" ht="12.75" hidden="1" customHeight="1">
      <c r="A34" s="420"/>
      <c r="B34" s="421"/>
      <c r="C34" s="409" t="s">
        <v>983</v>
      </c>
      <c r="D34" s="436"/>
      <c r="E34" s="415"/>
      <c r="F34" s="442"/>
      <c r="G34" s="430"/>
      <c r="H34" s="482"/>
      <c r="I34" s="536"/>
      <c r="J34" s="471"/>
    </row>
    <row r="35" spans="1:10" ht="12.75" hidden="1" customHeight="1" thickBot="1">
      <c r="A35" s="420"/>
      <c r="B35" s="428"/>
      <c r="C35" s="435"/>
      <c r="D35" s="436"/>
      <c r="E35" s="415"/>
      <c r="F35" s="443">
        <f>SUM(F31:F34)</f>
        <v>0</v>
      </c>
      <c r="G35" s="437"/>
      <c r="H35" s="484"/>
      <c r="J35" s="471"/>
    </row>
    <row r="36" spans="1:10" ht="12.75" customHeight="1">
      <c r="A36" s="420"/>
      <c r="B36" s="428"/>
      <c r="C36" s="435"/>
      <c r="D36" s="436"/>
      <c r="E36" s="415"/>
      <c r="F36" s="444"/>
      <c r="G36" s="437"/>
      <c r="H36" s="484"/>
      <c r="I36" s="538"/>
      <c r="J36" s="534"/>
    </row>
    <row r="37" spans="1:10" ht="15" customHeight="1">
      <c r="A37" s="420"/>
      <c r="B37" s="421" t="s">
        <v>501</v>
      </c>
      <c r="C37" s="415"/>
      <c r="D37" s="415"/>
      <c r="E37" s="428"/>
      <c r="F37" s="428"/>
      <c r="G37" s="424"/>
      <c r="H37" s="485">
        <f>SUM(H5:H35)</f>
        <v>2430000</v>
      </c>
      <c r="I37" s="537">
        <f>IF(H37&lt;&gt;0,0,"NIL")</f>
        <v>0</v>
      </c>
      <c r="J37" s="472"/>
    </row>
    <row r="38" spans="1:10" ht="15" customHeight="1">
      <c r="A38" s="420"/>
      <c r="B38" s="445" t="s">
        <v>999</v>
      </c>
      <c r="C38" s="415"/>
      <c r="D38" s="415"/>
      <c r="E38" s="415"/>
      <c r="F38" s="415"/>
      <c r="G38" s="415"/>
      <c r="H38" s="482"/>
      <c r="I38" s="536"/>
      <c r="J38" s="471"/>
    </row>
    <row r="39" spans="1:10" ht="12.75" customHeight="1">
      <c r="A39" s="420"/>
      <c r="B39" s="446"/>
      <c r="C39" s="435" t="s">
        <v>1080</v>
      </c>
      <c r="D39" s="415"/>
      <c r="E39" s="415"/>
      <c r="F39" s="415"/>
      <c r="G39" s="423"/>
      <c r="H39" s="482"/>
      <c r="I39" s="536"/>
      <c r="J39" s="471"/>
    </row>
    <row r="40" spans="1:10" ht="12.75" hidden="1" customHeight="1">
      <c r="A40" s="420"/>
      <c r="B40" s="446"/>
      <c r="C40" s="431" t="s">
        <v>510</v>
      </c>
      <c r="D40" s="415"/>
      <c r="E40" s="415"/>
      <c r="F40" s="411"/>
      <c r="G40" s="423"/>
      <c r="H40" s="482"/>
      <c r="I40" s="536"/>
      <c r="J40" s="471"/>
    </row>
    <row r="41" spans="1:10" ht="12.75" hidden="1" customHeight="1">
      <c r="A41" s="420"/>
      <c r="B41" s="446"/>
      <c r="C41" s="431" t="s">
        <v>1081</v>
      </c>
      <c r="D41" s="415"/>
      <c r="E41" s="415"/>
      <c r="F41" s="411"/>
      <c r="G41" s="423"/>
      <c r="H41" s="482"/>
      <c r="I41" s="536"/>
      <c r="J41" s="471"/>
    </row>
    <row r="42" spans="1:10" ht="12.75" hidden="1" customHeight="1">
      <c r="A42" s="420"/>
      <c r="B42" s="446"/>
      <c r="C42" s="431" t="s">
        <v>985</v>
      </c>
      <c r="D42" s="415"/>
      <c r="E42" s="415"/>
      <c r="F42" s="411"/>
      <c r="G42" s="423"/>
      <c r="H42" s="482"/>
      <c r="I42" s="536"/>
      <c r="J42" s="471"/>
    </row>
    <row r="43" spans="1:10" ht="12.75" hidden="1" customHeight="1">
      <c r="A43" s="420"/>
      <c r="B43" s="446"/>
      <c r="C43" s="431" t="s">
        <v>984</v>
      </c>
      <c r="D43" s="415"/>
      <c r="E43" s="415"/>
      <c r="F43" s="411"/>
      <c r="G43" s="423"/>
      <c r="H43" s="482"/>
      <c r="I43" s="536"/>
      <c r="J43" s="471"/>
    </row>
    <row r="44" spans="1:10" ht="12.75" customHeight="1">
      <c r="A44" s="420"/>
      <c r="B44" s="446"/>
      <c r="C44" s="431" t="s">
        <v>1149</v>
      </c>
      <c r="D44" s="415"/>
      <c r="E44" s="415"/>
      <c r="F44" s="411">
        <v>20000</v>
      </c>
      <c r="G44" s="423"/>
      <c r="H44" s="482"/>
      <c r="I44" s="536"/>
      <c r="J44" s="471"/>
    </row>
    <row r="45" spans="1:10" ht="12.75" customHeight="1">
      <c r="A45" s="420"/>
      <c r="B45" s="446"/>
      <c r="C45" s="431" t="s">
        <v>509</v>
      </c>
      <c r="D45" s="415"/>
      <c r="E45" s="415"/>
      <c r="F45" s="411">
        <v>150000</v>
      </c>
      <c r="G45" s="423"/>
      <c r="H45" s="482"/>
      <c r="I45" s="536"/>
      <c r="J45" s="471"/>
    </row>
    <row r="46" spans="1:10" ht="12.75" hidden="1" customHeight="1">
      <c r="A46" s="420"/>
      <c r="B46" s="446"/>
      <c r="C46" s="431" t="s">
        <v>986</v>
      </c>
      <c r="D46" s="415"/>
      <c r="E46" s="415"/>
      <c r="F46" s="411"/>
      <c r="G46" s="423"/>
      <c r="H46" s="482"/>
      <c r="I46" s="536"/>
      <c r="J46" s="471"/>
    </row>
    <row r="47" spans="1:10" ht="12.75" hidden="1" customHeight="1">
      <c r="A47" s="420"/>
      <c r="B47" s="446"/>
      <c r="C47" s="431" t="s">
        <v>987</v>
      </c>
      <c r="D47" s="415"/>
      <c r="E47" s="415"/>
      <c r="F47" s="411"/>
      <c r="G47" s="423"/>
      <c r="H47" s="482"/>
      <c r="I47" s="536"/>
      <c r="J47" s="471"/>
    </row>
    <row r="48" spans="1:10" ht="12.75" hidden="1" customHeight="1">
      <c r="A48" s="420"/>
      <c r="B48" s="446"/>
      <c r="C48" s="431" t="s">
        <v>988</v>
      </c>
      <c r="D48" s="415"/>
      <c r="E48" s="415"/>
      <c r="F48" s="411"/>
      <c r="G48" s="423"/>
      <c r="H48" s="482"/>
      <c r="I48" s="536"/>
      <c r="J48" s="471"/>
    </row>
    <row r="49" spans="1:10" ht="12.75" hidden="1" customHeight="1">
      <c r="A49" s="420"/>
      <c r="B49" s="446"/>
      <c r="C49" s="431" t="s">
        <v>989</v>
      </c>
      <c r="D49" s="415"/>
      <c r="E49" s="415"/>
      <c r="F49" s="411"/>
      <c r="G49" s="423"/>
      <c r="H49" s="482"/>
      <c r="I49" s="536"/>
      <c r="J49" s="471"/>
    </row>
    <row r="50" spans="1:10" ht="15" customHeight="1">
      <c r="A50" s="420"/>
      <c r="B50" s="446"/>
      <c r="C50" s="431"/>
      <c r="D50" s="415"/>
      <c r="E50" s="415"/>
      <c r="F50" s="448">
        <f>SUM(F40:F49)</f>
        <v>170000</v>
      </c>
      <c r="G50" s="415">
        <f>IF(F50&gt;150000,150000,F50)</f>
        <v>150000</v>
      </c>
      <c r="H50" s="482"/>
      <c r="I50" s="536"/>
      <c r="J50" s="471"/>
    </row>
    <row r="51" spans="1:10" ht="15" customHeight="1">
      <c r="A51" s="420"/>
      <c r="B51" s="446"/>
      <c r="C51" s="449" t="s">
        <v>1079</v>
      </c>
      <c r="D51" s="415"/>
      <c r="E51" s="415"/>
      <c r="F51" s="450"/>
      <c r="G51" s="411">
        <v>50000</v>
      </c>
      <c r="H51" s="482"/>
      <c r="I51" s="536"/>
      <c r="J51" s="471"/>
    </row>
    <row r="52" spans="1:10" ht="15" hidden="1" customHeight="1">
      <c r="A52" s="420"/>
      <c r="B52" s="446"/>
      <c r="C52" s="449" t="s">
        <v>1078</v>
      </c>
      <c r="D52" s="415"/>
      <c r="E52" s="415"/>
      <c r="F52" s="450"/>
      <c r="G52" s="411"/>
      <c r="H52" s="482"/>
      <c r="I52" s="536"/>
      <c r="J52" s="471"/>
    </row>
    <row r="53" spans="1:10" ht="15" customHeight="1">
      <c r="A53" s="420"/>
      <c r="B53" s="446"/>
      <c r="C53" s="449" t="s">
        <v>852</v>
      </c>
      <c r="D53" s="671" t="s">
        <v>1170</v>
      </c>
      <c r="E53" s="669">
        <v>32000</v>
      </c>
      <c r="F53" s="450"/>
      <c r="G53" s="411">
        <v>30000</v>
      </c>
      <c r="H53" s="482"/>
      <c r="I53" s="536"/>
      <c r="J53" s="471"/>
    </row>
    <row r="54" spans="1:10" ht="15" customHeight="1">
      <c r="A54" s="420"/>
      <c r="B54" s="446"/>
      <c r="C54" s="449" t="s">
        <v>611</v>
      </c>
      <c r="D54" s="415"/>
      <c r="E54" s="670" t="s">
        <v>1169</v>
      </c>
      <c r="F54" s="415"/>
      <c r="G54" s="411">
        <v>20000</v>
      </c>
      <c r="H54" s="482"/>
      <c r="I54" s="536"/>
      <c r="J54" s="471"/>
    </row>
    <row r="55" spans="1:10" ht="15" customHeight="1">
      <c r="A55" s="420"/>
      <c r="B55" s="415"/>
      <c r="C55" s="449" t="s">
        <v>979</v>
      </c>
      <c r="D55" s="415"/>
      <c r="E55" s="428"/>
      <c r="F55" s="428"/>
      <c r="G55" s="447">
        <f>IF(G19&gt;10000, 10000, G19)</f>
        <v>0</v>
      </c>
      <c r="H55" s="482"/>
      <c r="I55" s="536"/>
      <c r="J55" s="471"/>
    </row>
    <row r="56" spans="1:10" ht="15" customHeight="1">
      <c r="A56" s="420"/>
      <c r="B56" s="415"/>
      <c r="C56" s="543" t="s">
        <v>853</v>
      </c>
      <c r="D56" s="415"/>
      <c r="E56" s="428"/>
      <c r="F56" s="428"/>
      <c r="G56" s="411"/>
      <c r="H56" s="482">
        <f>SUM(G50:G56)</f>
        <v>250000</v>
      </c>
      <c r="I56" s="537">
        <f>IF(H56&lt;&gt;0,0,"NIL")</f>
        <v>0</v>
      </c>
      <c r="J56" s="472"/>
    </row>
    <row r="57" spans="1:10" ht="15.75" customHeight="1" thickBot="1">
      <c r="A57" s="420"/>
      <c r="B57" s="451" t="s">
        <v>777</v>
      </c>
      <c r="C57" s="415"/>
      <c r="D57" s="415"/>
      <c r="E57" s="452">
        <f>IF((H37-H56)&lt;0,0,(H37-H56))</f>
        <v>2180000</v>
      </c>
      <c r="F57" s="453" t="s">
        <v>779</v>
      </c>
      <c r="G57" s="440"/>
      <c r="H57" s="486">
        <f>ROUND((E57/10),0)*10</f>
        <v>2180000</v>
      </c>
      <c r="I57" s="539">
        <f>IF(H57&lt;&gt;0,0,"NIL")</f>
        <v>0</v>
      </c>
      <c r="J57" s="475"/>
    </row>
    <row r="58" spans="1:10" ht="15" customHeight="1" thickTop="1">
      <c r="A58" s="420"/>
      <c r="B58" s="450" t="s">
        <v>778</v>
      </c>
      <c r="C58" s="415"/>
      <c r="D58" s="415"/>
      <c r="E58" s="444" t="s">
        <v>521</v>
      </c>
      <c r="F58" s="454" t="s">
        <v>522</v>
      </c>
      <c r="G58" s="444" t="s">
        <v>524</v>
      </c>
      <c r="H58" s="487"/>
      <c r="J58" s="471"/>
    </row>
    <row r="59" spans="1:10" ht="15" customHeight="1">
      <c r="A59" s="420"/>
      <c r="B59" s="530" t="s">
        <v>1170</v>
      </c>
      <c r="C59" s="408" t="s">
        <v>518</v>
      </c>
      <c r="D59" s="415"/>
      <c r="E59" s="455">
        <f>E57-E60</f>
        <v>2180000</v>
      </c>
      <c r="F59" s="456"/>
      <c r="G59" s="415">
        <f>IF(+Data!D2="Senior",ROUND(IF(E59&gt;1000000,(((E59-1000000)*0.3)+120000),IF(E59&gt;500000,(((E59-500000)*0.2)+20000),IF(E59&gt;300000,((E59-300000)*0.1),0))),0),ROUND(IF(E59&gt;1000000,(((E59-1000000)*0.3)+125000),IF(E59&gt;500000,(((E59-500000)*0.2)+25000),IF(E59&gt;250000,((E59-250000)*0.1),0))),0))-5000</f>
        <v>474000</v>
      </c>
      <c r="H59" s="487"/>
      <c r="J59" s="471"/>
    </row>
    <row r="60" spans="1:10" ht="15" hidden="1" customHeight="1">
      <c r="A60" s="420"/>
      <c r="B60" s="450"/>
      <c r="C60" s="408" t="s">
        <v>519</v>
      </c>
      <c r="D60" s="415"/>
      <c r="E60" s="410"/>
      <c r="F60" s="457">
        <v>0.15</v>
      </c>
      <c r="G60" s="523"/>
      <c r="H60" s="484"/>
      <c r="J60" s="471"/>
    </row>
    <row r="61" spans="1:10" ht="15" hidden="1" customHeight="1">
      <c r="A61" s="420"/>
      <c r="B61" s="415"/>
      <c r="C61" s="415"/>
      <c r="D61" s="456"/>
      <c r="E61" s="428"/>
      <c r="F61" s="415"/>
      <c r="G61" s="526">
        <f>G59+G60</f>
        <v>474000</v>
      </c>
      <c r="H61" s="488"/>
      <c r="I61" s="537"/>
      <c r="J61" s="472"/>
    </row>
    <row r="62" spans="1:10" ht="15" customHeight="1">
      <c r="A62" s="420"/>
      <c r="C62" s="524" t="s">
        <v>1015</v>
      </c>
      <c r="D62" s="456"/>
      <c r="E62" s="428"/>
      <c r="F62" s="415"/>
      <c r="G62" s="527">
        <f>IF(H57&gt;500000,0,IF(G61&gt;2000,2000,G61))</f>
        <v>0</v>
      </c>
      <c r="H62" s="489">
        <f>G61-G62</f>
        <v>474000</v>
      </c>
      <c r="I62" s="537">
        <f>IF(H62&lt;&gt;0,0,"NIL")</f>
        <v>0</v>
      </c>
      <c r="J62" s="472"/>
    </row>
    <row r="63" spans="1:10" ht="15" customHeight="1">
      <c r="A63" s="420"/>
      <c r="B63" s="408" t="s">
        <v>774</v>
      </c>
      <c r="C63" s="415"/>
      <c r="D63" s="456"/>
      <c r="E63" s="428"/>
      <c r="F63" s="415"/>
      <c r="G63" s="428"/>
      <c r="H63" s="489">
        <f>ROUND((H62)*0.02,0)</f>
        <v>9480</v>
      </c>
      <c r="I63" s="537">
        <f>IF(H63&lt;&gt;0,0,"NIL")</f>
        <v>0</v>
      </c>
      <c r="J63" s="472"/>
    </row>
    <row r="64" spans="1:10" ht="15" customHeight="1">
      <c r="A64" s="420"/>
      <c r="B64" s="408" t="s">
        <v>775</v>
      </c>
      <c r="C64" s="415"/>
      <c r="D64" s="456"/>
      <c r="E64" s="458"/>
      <c r="F64" s="415"/>
      <c r="G64" s="428"/>
      <c r="H64" s="528">
        <f>ROUND((H62)*0.01,0)</f>
        <v>4740</v>
      </c>
      <c r="I64" s="540">
        <f>IF(H64&lt;&gt;0,0,"NIL")</f>
        <v>0</v>
      </c>
      <c r="J64" s="474"/>
    </row>
    <row r="65" spans="1:11" ht="15" customHeight="1">
      <c r="A65" s="420"/>
      <c r="B65" s="450" t="s">
        <v>565</v>
      </c>
      <c r="C65" s="415"/>
      <c r="D65" s="456"/>
      <c r="E65" s="458"/>
      <c r="F65" s="415"/>
      <c r="G65" s="428"/>
      <c r="H65" s="488">
        <f>SUM(H62:H64)</f>
        <v>488220</v>
      </c>
      <c r="I65" s="537"/>
      <c r="J65" s="472"/>
    </row>
    <row r="66" spans="1:11" ht="15" hidden="1" customHeight="1">
      <c r="A66" s="420"/>
      <c r="B66" s="427"/>
      <c r="C66" s="428"/>
      <c r="D66" s="428"/>
      <c r="E66" s="428"/>
      <c r="F66" s="428"/>
      <c r="G66" s="428"/>
      <c r="H66" s="528"/>
      <c r="I66" s="540"/>
      <c r="J66" s="473"/>
    </row>
    <row r="67" spans="1:11" ht="15" hidden="1" customHeight="1">
      <c r="A67" s="420"/>
      <c r="B67" s="450"/>
      <c r="C67" s="428"/>
      <c r="D67" s="428"/>
      <c r="E67" s="428"/>
      <c r="F67" s="428"/>
      <c r="G67" s="428"/>
      <c r="H67" s="491">
        <f>H65+H66</f>
        <v>488220</v>
      </c>
      <c r="I67" s="537"/>
      <c r="J67" s="472"/>
    </row>
    <row r="68" spans="1:11" ht="15" customHeight="1">
      <c r="A68" s="420"/>
      <c r="B68" s="415" t="s">
        <v>523</v>
      </c>
      <c r="C68" s="428"/>
      <c r="D68" s="428"/>
      <c r="E68" s="428"/>
      <c r="F68" s="428"/>
      <c r="G68" s="428"/>
      <c r="H68" s="492">
        <f>IF(Data!E2&gt;19814, Intt!I1, IF(H14&gt;0, Intt!I1,0))</f>
        <v>0</v>
      </c>
      <c r="I68" s="540" t="str">
        <f>IF(H68&lt;&gt;0,0,"NIL")</f>
        <v>NIL</v>
      </c>
      <c r="J68" s="473"/>
    </row>
    <row r="69" spans="1:11" ht="15" customHeight="1">
      <c r="A69" s="420"/>
      <c r="B69" s="450" t="s">
        <v>768</v>
      </c>
      <c r="C69" s="428"/>
      <c r="D69" s="428"/>
      <c r="E69" s="428"/>
      <c r="F69" s="428"/>
      <c r="G69" s="428"/>
      <c r="H69" s="490">
        <f>H67+H68</f>
        <v>488220</v>
      </c>
      <c r="I69" s="537">
        <f>IF(H69&lt;&gt;0,0,"NIL")</f>
        <v>0</v>
      </c>
      <c r="J69" s="472"/>
    </row>
    <row r="70" spans="1:11" ht="15" customHeight="1">
      <c r="A70" s="420"/>
      <c r="B70" s="421" t="s">
        <v>571</v>
      </c>
      <c r="C70" s="428"/>
      <c r="D70" s="428"/>
      <c r="E70" s="428"/>
      <c r="F70" s="428"/>
      <c r="G70" s="428"/>
      <c r="H70" s="490"/>
      <c r="I70" s="537"/>
      <c r="J70" s="471"/>
    </row>
    <row r="71" spans="1:11" ht="15" hidden="1" customHeight="1">
      <c r="A71" s="420"/>
      <c r="B71" s="415"/>
      <c r="C71" s="1115"/>
      <c r="D71" s="1115"/>
      <c r="E71" s="1115"/>
      <c r="F71" s="1115"/>
      <c r="G71" s="447"/>
      <c r="H71" s="482"/>
      <c r="I71" s="536"/>
      <c r="J71" s="472"/>
    </row>
    <row r="72" spans="1:11" ht="15" customHeight="1">
      <c r="A72" s="420"/>
      <c r="B72" s="588">
        <f>SUM(G71:G73)</f>
        <v>111500</v>
      </c>
      <c r="C72" s="1115" t="s">
        <v>570</v>
      </c>
      <c r="D72" s="1115"/>
      <c r="E72" s="1115"/>
      <c r="F72" s="1115"/>
      <c r="G72" s="410">
        <v>111500</v>
      </c>
      <c r="H72" s="482"/>
      <c r="I72" s="536"/>
      <c r="J72" s="472"/>
    </row>
    <row r="73" spans="1:11" ht="12.75" hidden="1" customHeight="1">
      <c r="A73" s="420"/>
      <c r="B73" s="459"/>
      <c r="C73" s="1115"/>
      <c r="D73" s="1115"/>
      <c r="E73" s="1115"/>
      <c r="F73" s="1115"/>
      <c r="G73" s="410"/>
      <c r="H73" s="482"/>
      <c r="I73" s="536"/>
      <c r="J73" s="472"/>
    </row>
    <row r="74" spans="1:11" ht="12.75" customHeight="1" thickBot="1">
      <c r="A74" s="414"/>
      <c r="B74" s="477"/>
      <c r="C74" s="1116" t="s">
        <v>1171</v>
      </c>
      <c r="D74" s="1116"/>
      <c r="E74" s="1116"/>
      <c r="F74" s="1116"/>
      <c r="G74" s="481">
        <f>IF(H69-SUM(G71:G73)&gt;0,(H69-SUM(G71:G73)),0)</f>
        <v>376720</v>
      </c>
      <c r="H74" s="493">
        <f>SUM(G71:G74)</f>
        <v>488220</v>
      </c>
      <c r="I74" s="541">
        <f>IF(H74&lt;&gt;0,0,"NIL")</f>
        <v>0</v>
      </c>
      <c r="J74" s="478"/>
    </row>
    <row r="75" spans="1:11" ht="18" customHeight="1" thickBot="1">
      <c r="A75" s="494"/>
      <c r="B75" s="495" t="str">
        <f>IF(H75=0,"TAX  PAYABLE / REFUND ",IF(H75&lt;0,"REFUND","TAX  PAYABLE"))</f>
        <v xml:space="preserve">TAX  PAYABLE / REFUND </v>
      </c>
      <c r="C75" s="496"/>
      <c r="D75" s="496"/>
      <c r="E75" s="497"/>
      <c r="F75" s="498" t="s">
        <v>776</v>
      </c>
      <c r="G75" s="497"/>
      <c r="H75" s="499">
        <f>ROUND((H69-H74)/10,0)*10</f>
        <v>0</v>
      </c>
      <c r="I75" s="542" t="str">
        <f>IF(H75&lt;&gt;0,0,"NIL")</f>
        <v>NIL</v>
      </c>
      <c r="J75" s="500"/>
    </row>
    <row r="76" spans="1:11">
      <c r="A76" s="567"/>
      <c r="B76" s="570"/>
      <c r="C76" s="570"/>
      <c r="D76" s="570"/>
      <c r="E76" s="570"/>
      <c r="F76" s="570"/>
      <c r="G76" s="570"/>
      <c r="H76" s="570"/>
      <c r="I76" s="568"/>
      <c r="J76" s="569"/>
      <c r="K76" s="554"/>
    </row>
    <row r="77" spans="1:11">
      <c r="A77" s="567"/>
      <c r="B77" s="554"/>
      <c r="C77" s="554"/>
      <c r="D77" s="554"/>
      <c r="E77" s="554"/>
      <c r="F77" s="554"/>
      <c r="G77" s="554"/>
      <c r="H77" s="554"/>
      <c r="I77" s="568"/>
      <c r="J77" s="569"/>
      <c r="K77" s="554"/>
    </row>
    <row r="78" spans="1:11">
      <c r="A78" s="567"/>
      <c r="B78" s="554"/>
      <c r="C78" s="554"/>
      <c r="D78" s="554"/>
      <c r="E78" s="554"/>
      <c r="F78" s="554"/>
      <c r="G78" s="554"/>
      <c r="H78" s="554"/>
      <c r="I78" s="568"/>
      <c r="J78" s="569"/>
      <c r="K78" s="554"/>
    </row>
    <row r="79" spans="1:11">
      <c r="A79" s="567"/>
      <c r="B79" s="554"/>
      <c r="C79" s="554"/>
      <c r="D79" s="554"/>
      <c r="E79" s="554"/>
      <c r="F79" s="554"/>
      <c r="G79" s="554"/>
      <c r="H79" s="554"/>
      <c r="I79" s="568"/>
      <c r="J79" s="569"/>
      <c r="K79" s="554"/>
    </row>
    <row r="80" spans="1:11">
      <c r="A80" s="567"/>
      <c r="B80" s="554"/>
      <c r="C80" s="554"/>
      <c r="D80" s="554"/>
      <c r="E80" s="554"/>
      <c r="F80" s="554"/>
      <c r="G80" s="554"/>
      <c r="H80" s="554"/>
      <c r="I80" s="568"/>
      <c r="J80" s="569"/>
      <c r="K80" s="554"/>
    </row>
    <row r="81" spans="1:11">
      <c r="A81" s="567"/>
      <c r="B81" s="554"/>
      <c r="C81" s="554"/>
      <c r="D81" s="554"/>
      <c r="E81" s="554"/>
      <c r="F81" s="554"/>
      <c r="G81" s="554"/>
      <c r="H81" s="554"/>
      <c r="I81" s="568"/>
      <c r="J81" s="569"/>
      <c r="K81" s="554"/>
    </row>
  </sheetData>
  <mergeCells count="6">
    <mergeCell ref="C74:F74"/>
    <mergeCell ref="A1:J1"/>
    <mergeCell ref="A2:J2"/>
    <mergeCell ref="C71:F71"/>
    <mergeCell ref="C72:F72"/>
    <mergeCell ref="C73:F73"/>
  </mergeCells>
  <conditionalFormatting sqref="F60">
    <cfRule type="expression" dxfId="8" priority="1" stopIfTrue="1">
      <formula>"""$E$55=0"""</formula>
    </cfRule>
  </conditionalFormatting>
  <dataValidations count="2">
    <dataValidation type="list" errorStyle="information" allowBlank="1" showInputMessage="1" showErrorMessage="1" sqref="D4">
      <formula1>"SALARY RECEIVED, PENSION RECEIVED"</formula1>
    </dataValidation>
    <dataValidation type="list" errorStyle="information" allowBlank="1" showInputMessage="1" showErrorMessage="1" sqref="C42">
      <formula1>"ICICI PRUDENTIAL PREM, BAJAJ ALLIANZ LIFE INSURANCE PREM., LIC  PREMIUM, ULIP PREMIUM"</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P93"/>
  <sheetViews>
    <sheetView showZeros="0" topLeftCell="A53"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9.42578125" style="416" customWidth="1"/>
    <col min="8" max="8" width="11.140625" style="416" customWidth="1"/>
    <col min="9" max="9" width="4.28515625" style="526" customWidth="1"/>
    <col min="10" max="10" width="1.85546875" style="476" customWidth="1"/>
    <col min="11" max="16384" width="9.140625" style="416"/>
  </cols>
  <sheetData>
    <row r="1" spans="1:13" s="413" customFormat="1" ht="18.75" customHeight="1">
      <c r="A1" s="1108" t="s">
        <v>1083</v>
      </c>
      <c r="B1" s="1109"/>
      <c r="C1" s="1109"/>
      <c r="D1" s="1109"/>
      <c r="E1" s="1109"/>
      <c r="F1" s="1109"/>
      <c r="G1" s="1109"/>
      <c r="H1" s="1109"/>
      <c r="I1" s="1109"/>
      <c r="J1" s="1110"/>
      <c r="K1" s="412"/>
      <c r="L1" s="412"/>
    </row>
    <row r="2" spans="1:13" ht="18" customHeight="1" thickBot="1">
      <c r="A2" s="1111" t="s">
        <v>562</v>
      </c>
      <c r="B2" s="1112"/>
      <c r="C2" s="1112"/>
      <c r="D2" s="1112"/>
      <c r="E2" s="1112"/>
      <c r="F2" s="1112"/>
      <c r="G2" s="1112"/>
      <c r="H2" s="1112"/>
      <c r="I2" s="1112"/>
      <c r="J2" s="1113"/>
      <c r="K2" s="415"/>
      <c r="L2" s="415"/>
    </row>
    <row r="3" spans="1:13" ht="20.100000000000001" customHeight="1">
      <c r="A3" s="417"/>
      <c r="B3" s="418" t="s">
        <v>994</v>
      </c>
      <c r="C3" s="419"/>
      <c r="D3" s="419"/>
      <c r="E3" s="419"/>
      <c r="F3" s="419"/>
      <c r="G3" s="419"/>
      <c r="H3" s="501" t="s">
        <v>1013</v>
      </c>
      <c r="I3" s="535"/>
      <c r="J3" s="470"/>
      <c r="K3" s="415"/>
      <c r="L3" s="415"/>
    </row>
    <row r="4" spans="1:13" ht="15" customHeight="1">
      <c r="A4" s="420"/>
      <c r="B4" s="421"/>
      <c r="C4" s="422" t="s">
        <v>567</v>
      </c>
      <c r="D4" s="422"/>
      <c r="E4" s="415"/>
      <c r="F4" s="423"/>
      <c r="G4" s="411">
        <v>16600000</v>
      </c>
      <c r="H4" s="482"/>
      <c r="I4" s="536"/>
      <c r="J4" s="471"/>
      <c r="K4" s="415"/>
      <c r="L4" s="415"/>
    </row>
    <row r="5" spans="1:13" ht="15" customHeight="1">
      <c r="A5" s="420"/>
      <c r="B5" s="415"/>
      <c r="C5" s="408" t="s">
        <v>1146</v>
      </c>
      <c r="D5" s="415"/>
      <c r="E5" s="415"/>
      <c r="F5" s="415"/>
      <c r="G5" s="425">
        <v>2490000</v>
      </c>
      <c r="H5" s="484"/>
      <c r="I5" s="537">
        <f>IF(H6&lt;&gt;0,0,"NIL")</f>
        <v>0</v>
      </c>
      <c r="J5" s="472"/>
      <c r="K5" s="415"/>
      <c r="L5" s="415"/>
    </row>
    <row r="6" spans="1:13" ht="15" customHeight="1" thickBot="1">
      <c r="A6" s="420"/>
      <c r="B6" s="415"/>
      <c r="C6" s="408"/>
      <c r="D6" s="415"/>
      <c r="E6" s="415"/>
      <c r="F6" s="415"/>
      <c r="G6" s="662">
        <f>G4+G5</f>
        <v>19090000</v>
      </c>
      <c r="H6" s="482">
        <f>+G6</f>
        <v>19090000</v>
      </c>
      <c r="I6" s="537"/>
      <c r="J6" s="472"/>
      <c r="K6" s="415"/>
      <c r="L6" s="415"/>
    </row>
    <row r="7" spans="1:13" ht="15" customHeight="1" thickTop="1">
      <c r="A7" s="420"/>
      <c r="B7" s="426" t="s">
        <v>995</v>
      </c>
      <c r="C7" s="415"/>
      <c r="D7" s="415"/>
      <c r="E7" s="525" t="s">
        <v>1014</v>
      </c>
      <c r="F7" s="423"/>
      <c r="G7" s="415"/>
      <c r="H7" s="482"/>
      <c r="I7" s="537"/>
      <c r="J7" s="472"/>
      <c r="K7" s="415"/>
      <c r="L7" s="415"/>
    </row>
    <row r="8" spans="1:13" ht="15" customHeight="1">
      <c r="A8" s="420"/>
      <c r="B8" s="426"/>
      <c r="C8" s="583" t="s">
        <v>1127</v>
      </c>
      <c r="D8" s="422"/>
      <c r="E8" s="663" t="s">
        <v>1155</v>
      </c>
      <c r="F8" s="653"/>
      <c r="G8" s="654">
        <v>300000</v>
      </c>
      <c r="H8" s="482"/>
      <c r="I8" s="537"/>
      <c r="J8" s="472"/>
      <c r="K8" s="415"/>
      <c r="L8" s="415"/>
    </row>
    <row r="9" spans="1:13" ht="15" customHeight="1">
      <c r="A9" s="420"/>
      <c r="B9" s="426"/>
      <c r="C9" s="431" t="s">
        <v>769</v>
      </c>
      <c r="D9" s="422"/>
      <c r="E9" s="427"/>
      <c r="F9" s="653"/>
      <c r="G9" s="655">
        <v>15000</v>
      </c>
      <c r="H9" s="482"/>
      <c r="I9" s="537"/>
      <c r="J9" s="472"/>
      <c r="K9" s="415"/>
      <c r="L9" s="415"/>
    </row>
    <row r="10" spans="1:13" ht="15" customHeight="1">
      <c r="A10" s="420"/>
      <c r="B10" s="426"/>
      <c r="C10" s="583"/>
      <c r="D10" s="422"/>
      <c r="E10" s="427"/>
      <c r="F10" s="653"/>
      <c r="G10" s="656">
        <f>G8-G9</f>
        <v>285000</v>
      </c>
      <c r="H10" s="482"/>
      <c r="I10" s="537"/>
      <c r="J10" s="472"/>
      <c r="K10" s="415"/>
      <c r="L10" s="415"/>
    </row>
    <row r="11" spans="1:13" ht="15" customHeight="1">
      <c r="A11" s="420"/>
      <c r="B11" s="426"/>
      <c r="C11" s="590" t="s">
        <v>514</v>
      </c>
      <c r="D11" s="415"/>
      <c r="E11" s="408" t="s">
        <v>1093</v>
      </c>
      <c r="F11" s="408">
        <f>G10*0.3</f>
        <v>85500</v>
      </c>
      <c r="G11" s="656"/>
      <c r="H11" s="482"/>
      <c r="I11" s="537"/>
      <c r="J11" s="472"/>
      <c r="K11" s="415"/>
      <c r="L11" s="415"/>
    </row>
    <row r="12" spans="1:13" ht="15" customHeight="1">
      <c r="A12" s="420"/>
      <c r="B12" s="426"/>
      <c r="D12" s="415"/>
      <c r="E12" s="408" t="s">
        <v>1147</v>
      </c>
      <c r="F12" s="657">
        <v>175000</v>
      </c>
      <c r="G12" s="658">
        <f>F11+F12</f>
        <v>260500</v>
      </c>
      <c r="H12" s="482"/>
      <c r="I12" s="537"/>
      <c r="J12" s="472"/>
      <c r="K12" s="415"/>
      <c r="L12" s="415"/>
    </row>
    <row r="13" spans="1:13" ht="15" customHeight="1" thickBot="1">
      <c r="A13" s="420"/>
      <c r="B13" s="426"/>
      <c r="D13" s="415"/>
      <c r="E13" s="415"/>
      <c r="F13" s="423"/>
      <c r="G13" s="661">
        <f>G10-G12</f>
        <v>24500</v>
      </c>
      <c r="H13" s="482"/>
      <c r="I13" s="537"/>
      <c r="J13" s="472"/>
      <c r="K13" s="415"/>
      <c r="L13" s="415"/>
    </row>
    <row r="14" spans="1:13" ht="15" customHeight="1" thickTop="1">
      <c r="A14" s="420"/>
      <c r="B14" s="426"/>
      <c r="D14" s="415"/>
      <c r="E14" s="415"/>
      <c r="F14" s="423"/>
      <c r="G14" s="423"/>
      <c r="H14" s="482"/>
      <c r="I14" s="537"/>
      <c r="J14" s="472"/>
      <c r="K14" s="415"/>
      <c r="L14" s="415"/>
    </row>
    <row r="15" spans="1:13" ht="15" customHeight="1">
      <c r="A15" s="420"/>
      <c r="B15" s="415"/>
      <c r="C15" s="583" t="s">
        <v>1127</v>
      </c>
      <c r="D15" s="422"/>
      <c r="E15" s="663" t="s">
        <v>1156</v>
      </c>
      <c r="F15" s="653"/>
      <c r="G15" s="654">
        <v>300000</v>
      </c>
      <c r="H15" s="482"/>
      <c r="I15" s="537"/>
      <c r="J15" s="472"/>
      <c r="K15" s="415"/>
      <c r="L15" s="415"/>
      <c r="M15" s="415"/>
    </row>
    <row r="16" spans="1:13" ht="15" customHeight="1">
      <c r="A16" s="420"/>
      <c r="B16" s="415"/>
      <c r="C16" s="431" t="s">
        <v>769</v>
      </c>
      <c r="D16" s="415"/>
      <c r="E16" s="408"/>
      <c r="F16" s="408"/>
      <c r="G16" s="659">
        <v>15000</v>
      </c>
      <c r="H16" s="482"/>
      <c r="I16" s="537"/>
      <c r="J16" s="472"/>
      <c r="K16" s="415"/>
      <c r="L16" s="415"/>
    </row>
    <row r="17" spans="1:12" ht="15" customHeight="1">
      <c r="A17" s="420"/>
      <c r="B17" s="415"/>
      <c r="C17" s="408"/>
      <c r="D17" s="415"/>
      <c r="E17" s="408"/>
      <c r="F17" s="408"/>
      <c r="G17" s="656">
        <f>IF((G15-G16)&lt;0,0,(G15-G16))</f>
        <v>285000</v>
      </c>
      <c r="H17" s="482"/>
      <c r="I17" s="537"/>
      <c r="J17" s="472"/>
      <c r="K17" s="415"/>
      <c r="L17" s="415"/>
    </row>
    <row r="18" spans="1:12" ht="15" customHeight="1">
      <c r="A18" s="420"/>
      <c r="B18" s="415"/>
      <c r="C18" s="590" t="s">
        <v>514</v>
      </c>
      <c r="D18" s="415"/>
      <c r="E18" s="408" t="s">
        <v>1093</v>
      </c>
      <c r="F18" s="408">
        <f>G17*0.3</f>
        <v>85500</v>
      </c>
      <c r="G18" s="656"/>
      <c r="H18" s="482"/>
      <c r="I18" s="537"/>
      <c r="J18" s="472"/>
      <c r="K18" s="415"/>
      <c r="L18" s="415"/>
    </row>
    <row r="19" spans="1:12" ht="15" customHeight="1">
      <c r="A19" s="420"/>
      <c r="B19" s="415"/>
      <c r="C19" s="590"/>
      <c r="D19" s="415"/>
      <c r="E19" s="408" t="s">
        <v>1147</v>
      </c>
      <c r="F19" s="657">
        <v>175000</v>
      </c>
      <c r="G19" s="658">
        <f>F18+F19</f>
        <v>260500</v>
      </c>
      <c r="H19" s="482"/>
      <c r="I19" s="537"/>
      <c r="J19" s="472"/>
      <c r="K19" s="415"/>
      <c r="L19" s="415"/>
    </row>
    <row r="20" spans="1:12" ht="15" customHeight="1" thickBot="1">
      <c r="A20" s="420"/>
      <c r="B20" s="415"/>
      <c r="D20" s="415"/>
      <c r="G20" s="661">
        <f>G17-G19</f>
        <v>24500</v>
      </c>
      <c r="H20" s="482">
        <f>G13+G20</f>
        <v>49000</v>
      </c>
      <c r="I20" s="537">
        <f>IF(H20&lt;&gt;0,0,"NIL")</f>
        <v>0</v>
      </c>
      <c r="J20" s="472"/>
      <c r="K20" s="415"/>
      <c r="L20" s="415"/>
    </row>
    <row r="21" spans="1:12" ht="17.25" hidden="1" customHeight="1">
      <c r="A21" s="420"/>
      <c r="B21" s="421" t="s">
        <v>996</v>
      </c>
      <c r="C21" s="408"/>
      <c r="D21" s="415"/>
      <c r="E21" s="429"/>
      <c r="F21" s="423"/>
      <c r="G21" s="415"/>
      <c r="H21" s="482"/>
      <c r="I21" s="537"/>
      <c r="J21" s="472"/>
      <c r="K21" s="415"/>
      <c r="L21" s="415"/>
    </row>
    <row r="22" spans="1:12" ht="15" hidden="1" customHeight="1">
      <c r="A22" s="420"/>
      <c r="B22" s="415"/>
      <c r="C22" s="408" t="s">
        <v>991</v>
      </c>
      <c r="D22" s="415"/>
      <c r="E22" s="429"/>
      <c r="F22" s="423"/>
      <c r="G22" s="411"/>
      <c r="H22" s="482"/>
      <c r="I22" s="537"/>
      <c r="J22" s="472"/>
      <c r="K22" s="415"/>
      <c r="L22" s="415"/>
    </row>
    <row r="23" spans="1:12" ht="15" hidden="1" customHeight="1">
      <c r="A23" s="420"/>
      <c r="B23" s="415"/>
      <c r="C23" s="408" t="s">
        <v>992</v>
      </c>
      <c r="D23" s="415"/>
      <c r="E23" s="429"/>
      <c r="F23" s="423"/>
      <c r="G23" s="479"/>
      <c r="H23" s="483">
        <f>G22-G23</f>
        <v>0</v>
      </c>
      <c r="I23" s="537" t="str">
        <f>IF(H23&lt;&gt;0,0,"NIL")</f>
        <v>NIL</v>
      </c>
      <c r="J23" s="472"/>
      <c r="K23" s="415"/>
      <c r="L23" s="415"/>
    </row>
    <row r="24" spans="1:12" ht="15" hidden="1" customHeight="1" thickTop="1">
      <c r="A24" s="420"/>
      <c r="B24" s="421" t="s">
        <v>997</v>
      </c>
      <c r="C24" s="415"/>
      <c r="D24" s="415"/>
      <c r="E24" s="415"/>
      <c r="F24" s="415"/>
      <c r="G24" s="415"/>
      <c r="H24" s="482"/>
      <c r="I24" s="537"/>
      <c r="J24" s="472"/>
      <c r="K24" s="415"/>
      <c r="L24" s="415"/>
    </row>
    <row r="25" spans="1:12" hidden="1">
      <c r="A25" s="420"/>
      <c r="B25" s="415"/>
      <c r="C25" s="408" t="s">
        <v>498</v>
      </c>
      <c r="D25" s="415"/>
      <c r="E25" s="415"/>
      <c r="F25" s="415"/>
      <c r="G25" s="411"/>
      <c r="H25" s="482"/>
      <c r="I25" s="537"/>
      <c r="J25" s="472"/>
      <c r="K25" s="415"/>
      <c r="L25" s="415"/>
    </row>
    <row r="26" spans="1:12" hidden="1">
      <c r="A26" s="420"/>
      <c r="B26" s="415"/>
      <c r="C26" s="408" t="s">
        <v>77</v>
      </c>
      <c r="D26" s="415"/>
      <c r="E26" s="415"/>
      <c r="F26" s="415"/>
      <c r="G26" s="479"/>
      <c r="H26" s="482">
        <f>G25+G26</f>
        <v>0</v>
      </c>
      <c r="I26" s="537" t="str">
        <f>IF(H26&lt;&gt;0,0,"NIL")</f>
        <v>NIL</v>
      </c>
      <c r="J26" s="472"/>
      <c r="K26" s="415"/>
      <c r="L26" s="415"/>
    </row>
    <row r="27" spans="1:12" ht="20.100000000000001" customHeight="1" thickTop="1">
      <c r="A27" s="420"/>
      <c r="B27" s="421" t="s">
        <v>998</v>
      </c>
      <c r="C27" s="415"/>
      <c r="D27" s="415"/>
      <c r="E27" s="415"/>
      <c r="F27" s="415"/>
      <c r="G27" s="415"/>
      <c r="H27" s="482"/>
      <c r="I27" s="536"/>
      <c r="J27" s="471"/>
      <c r="K27" s="415"/>
      <c r="L27" s="415"/>
    </row>
    <row r="28" spans="1:12" ht="13.5">
      <c r="A28" s="420"/>
      <c r="B28" s="589"/>
      <c r="C28" s="408" t="s">
        <v>1148</v>
      </c>
      <c r="D28" s="431"/>
      <c r="E28" s="431"/>
      <c r="F28" s="415"/>
      <c r="G28" s="411">
        <v>67000</v>
      </c>
      <c r="H28" s="482"/>
      <c r="I28" s="536"/>
      <c r="J28" s="471"/>
      <c r="K28" s="415"/>
      <c r="L28" s="415"/>
    </row>
    <row r="29" spans="1:12" ht="13.5" hidden="1">
      <c r="A29" s="420"/>
      <c r="B29" s="589"/>
      <c r="C29" s="408"/>
      <c r="D29" s="431"/>
      <c r="E29" s="431"/>
      <c r="F29" s="408"/>
      <c r="G29" s="411"/>
      <c r="H29" s="482"/>
      <c r="I29" s="536"/>
      <c r="J29" s="471"/>
      <c r="K29" s="415"/>
      <c r="L29" s="415"/>
    </row>
    <row r="30" spans="1:12" ht="13.5">
      <c r="A30" s="420"/>
      <c r="B30" s="589"/>
      <c r="C30" s="408" t="s">
        <v>1125</v>
      </c>
      <c r="D30" s="431"/>
      <c r="E30" s="431"/>
      <c r="F30" s="431"/>
      <c r="G30" s="462">
        <v>518000</v>
      </c>
      <c r="H30" s="482"/>
      <c r="I30" s="536"/>
      <c r="J30" s="471"/>
      <c r="K30" s="415"/>
      <c r="L30" s="415"/>
    </row>
    <row r="31" spans="1:12" ht="15" customHeight="1">
      <c r="A31" s="420"/>
      <c r="B31" s="589"/>
      <c r="C31" s="431"/>
      <c r="D31" s="434"/>
      <c r="E31" s="433"/>
      <c r="F31" s="433"/>
      <c r="G31" s="660">
        <f>SUM(G28:G30)</f>
        <v>585000</v>
      </c>
      <c r="H31" s="482"/>
      <c r="I31" s="536"/>
      <c r="J31" s="471"/>
      <c r="K31" s="415"/>
      <c r="L31" s="415"/>
    </row>
    <row r="32" spans="1:12" ht="15" hidden="1" customHeight="1">
      <c r="A32" s="420"/>
      <c r="B32" s="589"/>
      <c r="C32" s="435" t="s">
        <v>512</v>
      </c>
      <c r="D32" s="436"/>
      <c r="E32" s="436"/>
      <c r="F32" s="436"/>
      <c r="G32" s="437"/>
      <c r="H32" s="482"/>
      <c r="I32" s="536"/>
      <c r="J32" s="471"/>
      <c r="K32" s="415"/>
      <c r="L32" s="415"/>
    </row>
    <row r="33" spans="1:12" ht="15" hidden="1" customHeight="1">
      <c r="A33" s="420"/>
      <c r="B33" s="589"/>
      <c r="G33" s="410"/>
      <c r="H33" s="482"/>
      <c r="I33" s="536"/>
      <c r="J33" s="471"/>
      <c r="K33" s="415"/>
      <c r="L33" s="415"/>
    </row>
    <row r="34" spans="1:12" ht="15" hidden="1" customHeight="1">
      <c r="A34" s="420"/>
      <c r="B34" s="589"/>
      <c r="G34" s="410"/>
      <c r="H34" s="482"/>
      <c r="I34" s="536"/>
      <c r="J34" s="471"/>
      <c r="K34" s="415"/>
      <c r="L34" s="415"/>
    </row>
    <row r="35" spans="1:12" ht="15" hidden="1" customHeight="1">
      <c r="A35" s="420"/>
      <c r="B35" s="589"/>
      <c r="C35" s="436" t="s">
        <v>846</v>
      </c>
      <c r="D35" s="436"/>
      <c r="E35" s="415"/>
      <c r="F35" s="438"/>
      <c r="G35" s="437"/>
      <c r="H35" s="482"/>
      <c r="I35" s="536"/>
      <c r="J35" s="471"/>
      <c r="K35" s="415"/>
      <c r="L35" s="415"/>
    </row>
    <row r="36" spans="1:12" ht="15" hidden="1" customHeight="1">
      <c r="A36" s="420"/>
      <c r="B36" s="589"/>
      <c r="C36" s="432" t="s">
        <v>847</v>
      </c>
      <c r="D36" s="415"/>
      <c r="E36" s="415"/>
      <c r="F36" s="461">
        <f>ROUND(IF(F35/3&gt;15000,15000,F35/3),0)</f>
        <v>0</v>
      </c>
      <c r="G36" s="447">
        <f>F35-F36</f>
        <v>0</v>
      </c>
      <c r="H36" s="482"/>
      <c r="I36" s="536"/>
      <c r="J36" s="471"/>
      <c r="K36" s="415"/>
      <c r="L36" s="415"/>
    </row>
    <row r="37" spans="1:12" ht="15" hidden="1" customHeight="1">
      <c r="A37" s="420"/>
      <c r="B37" s="589"/>
      <c r="C37" s="415"/>
      <c r="D37" s="415"/>
      <c r="E37" s="415"/>
      <c r="F37" s="415"/>
      <c r="G37" s="480">
        <f>SUM(G33:G36)</f>
        <v>0</v>
      </c>
      <c r="H37" s="484"/>
      <c r="J37" s="472"/>
      <c r="K37" s="415"/>
      <c r="L37" s="415"/>
    </row>
    <row r="38" spans="1:12" ht="15" customHeight="1">
      <c r="A38" s="420"/>
      <c r="B38" s="589"/>
      <c r="C38" s="415"/>
      <c r="D38" s="415"/>
      <c r="E38" s="415"/>
      <c r="F38" s="415"/>
      <c r="G38" s="437"/>
      <c r="H38" s="482">
        <f>G31+G37</f>
        <v>585000</v>
      </c>
      <c r="I38" s="537">
        <f>IF(H38&lt;&gt;0,0,"NIL")</f>
        <v>0</v>
      </c>
      <c r="J38" s="472"/>
      <c r="K38" s="415"/>
      <c r="L38" s="415"/>
    </row>
    <row r="39" spans="1:12" ht="15" hidden="1" customHeight="1">
      <c r="A39" s="420"/>
      <c r="B39" s="589"/>
      <c r="C39" s="439" t="s">
        <v>564</v>
      </c>
      <c r="D39" s="436"/>
      <c r="E39" s="436"/>
      <c r="F39" s="440"/>
      <c r="G39" s="437"/>
      <c r="H39" s="484"/>
      <c r="J39" s="472"/>
      <c r="K39" s="415"/>
      <c r="L39" s="415"/>
    </row>
    <row r="40" spans="1:12" ht="12.75" hidden="1" customHeight="1">
      <c r="A40" s="420"/>
      <c r="B40" s="421"/>
      <c r="C40" s="409" t="s">
        <v>851</v>
      </c>
      <c r="D40" s="436"/>
      <c r="E40" s="441"/>
      <c r="F40" s="442"/>
      <c r="G40" s="430"/>
      <c r="H40" s="482"/>
      <c r="I40" s="536"/>
      <c r="J40" s="471"/>
      <c r="K40" s="415"/>
      <c r="L40" s="415"/>
    </row>
    <row r="41" spans="1:12" ht="12.75" hidden="1" customHeight="1">
      <c r="A41" s="420"/>
      <c r="B41" s="421"/>
      <c r="C41" s="409" t="s">
        <v>981</v>
      </c>
      <c r="D41" s="436"/>
      <c r="E41" s="441"/>
      <c r="F41" s="442"/>
      <c r="G41" s="430"/>
      <c r="H41" s="482"/>
      <c r="I41" s="536"/>
      <c r="J41" s="471"/>
      <c r="K41" s="415"/>
      <c r="L41" s="415"/>
    </row>
    <row r="42" spans="1:12" ht="12.75" hidden="1" customHeight="1">
      <c r="A42" s="420"/>
      <c r="B42" s="421"/>
      <c r="C42" s="409" t="s">
        <v>982</v>
      </c>
      <c r="D42" s="436"/>
      <c r="E42" s="441"/>
      <c r="F42" s="442"/>
      <c r="G42" s="430"/>
      <c r="H42" s="482"/>
      <c r="I42" s="536"/>
      <c r="J42" s="471"/>
      <c r="K42" s="415"/>
      <c r="L42" s="415"/>
    </row>
    <row r="43" spans="1:12" ht="12.75" hidden="1" customHeight="1">
      <c r="A43" s="420"/>
      <c r="B43" s="421"/>
      <c r="C43" s="409" t="s">
        <v>983</v>
      </c>
      <c r="D43" s="436"/>
      <c r="E43" s="415"/>
      <c r="F43" s="442"/>
      <c r="G43" s="430"/>
      <c r="H43" s="482"/>
      <c r="I43" s="536"/>
      <c r="J43" s="471"/>
      <c r="K43" s="415"/>
      <c r="L43" s="415"/>
    </row>
    <row r="44" spans="1:12" ht="12.75" hidden="1" customHeight="1" thickBot="1">
      <c r="A44" s="420"/>
      <c r="B44" s="428"/>
      <c r="C44" s="435"/>
      <c r="D44" s="436"/>
      <c r="E44" s="415"/>
      <c r="F44" s="443">
        <f>SUM(F40:F43)</f>
        <v>0</v>
      </c>
      <c r="G44" s="437"/>
      <c r="H44" s="484"/>
      <c r="J44" s="471"/>
      <c r="K44" s="415"/>
      <c r="L44" s="415"/>
    </row>
    <row r="45" spans="1:12" ht="12.75" customHeight="1">
      <c r="A45" s="420"/>
      <c r="B45" s="428"/>
      <c r="C45" s="435"/>
      <c r="D45" s="436"/>
      <c r="E45" s="415"/>
      <c r="F45" s="444"/>
      <c r="G45" s="437"/>
      <c r="H45" s="484"/>
      <c r="I45" s="538"/>
      <c r="J45" s="534"/>
      <c r="K45" s="415"/>
      <c r="L45" s="415"/>
    </row>
    <row r="46" spans="1:12" ht="15" customHeight="1">
      <c r="A46" s="420"/>
      <c r="B46" s="421" t="s">
        <v>501</v>
      </c>
      <c r="C46" s="415"/>
      <c r="D46" s="415"/>
      <c r="E46" s="428"/>
      <c r="F46" s="428"/>
      <c r="G46" s="424"/>
      <c r="H46" s="485">
        <f>SUM(H6:H44)</f>
        <v>19724000</v>
      </c>
      <c r="I46" s="537">
        <f>IF(H46&lt;&gt;0,0,"NIL")</f>
        <v>0</v>
      </c>
      <c r="J46" s="472"/>
      <c r="K46" s="415"/>
      <c r="L46" s="415"/>
    </row>
    <row r="47" spans="1:12" ht="15" customHeight="1">
      <c r="A47" s="420"/>
      <c r="B47" s="445" t="s">
        <v>999</v>
      </c>
      <c r="C47" s="415"/>
      <c r="D47" s="415"/>
      <c r="E47" s="415"/>
      <c r="F47" s="415"/>
      <c r="G47" s="415"/>
      <c r="H47" s="482"/>
      <c r="I47" s="536"/>
      <c r="J47" s="471"/>
      <c r="K47" s="415"/>
      <c r="L47" s="415"/>
    </row>
    <row r="48" spans="1:12" ht="12.75" customHeight="1">
      <c r="A48" s="420"/>
      <c r="B48" s="446"/>
      <c r="C48" s="435" t="s">
        <v>1080</v>
      </c>
      <c r="D48" s="415"/>
      <c r="E48" s="415"/>
      <c r="F48" s="415"/>
      <c r="G48" s="423"/>
      <c r="H48" s="482"/>
      <c r="I48" s="536"/>
      <c r="J48" s="471"/>
      <c r="K48" s="415"/>
      <c r="L48" s="415"/>
    </row>
    <row r="49" spans="1:12" ht="12.75" hidden="1" customHeight="1">
      <c r="A49" s="420"/>
      <c r="B49" s="446"/>
      <c r="C49" s="431" t="s">
        <v>510</v>
      </c>
      <c r="D49" s="415"/>
      <c r="E49" s="415"/>
      <c r="F49" s="411"/>
      <c r="G49" s="423"/>
      <c r="H49" s="482"/>
      <c r="I49" s="536"/>
      <c r="J49" s="471"/>
      <c r="K49" s="415"/>
      <c r="L49" s="415"/>
    </row>
    <row r="50" spans="1:12" ht="12.75" hidden="1" customHeight="1">
      <c r="A50" s="420"/>
      <c r="B50" s="446"/>
      <c r="C50" s="431" t="s">
        <v>1081</v>
      </c>
      <c r="D50" s="415"/>
      <c r="E50" s="415"/>
      <c r="F50" s="411"/>
      <c r="G50" s="423"/>
      <c r="H50" s="482"/>
      <c r="I50" s="536"/>
      <c r="J50" s="471"/>
      <c r="K50" s="415"/>
      <c r="L50" s="415"/>
    </row>
    <row r="51" spans="1:12" ht="12.75" hidden="1" customHeight="1">
      <c r="A51" s="420"/>
      <c r="B51" s="446"/>
      <c r="C51" s="431" t="s">
        <v>985</v>
      </c>
      <c r="D51" s="415"/>
      <c r="E51" s="415"/>
      <c r="F51" s="411"/>
      <c r="G51" s="423"/>
      <c r="H51" s="482"/>
      <c r="I51" s="536"/>
      <c r="J51" s="471"/>
      <c r="K51" s="415"/>
      <c r="L51" s="415"/>
    </row>
    <row r="52" spans="1:12" ht="12.75" hidden="1" customHeight="1">
      <c r="A52" s="420"/>
      <c r="B52" s="446"/>
      <c r="C52" s="431" t="s">
        <v>984</v>
      </c>
      <c r="D52" s="415"/>
      <c r="E52" s="415"/>
      <c r="F52" s="411"/>
      <c r="G52" s="423"/>
      <c r="H52" s="482"/>
      <c r="I52" s="536"/>
      <c r="J52" s="471"/>
      <c r="K52" s="415"/>
      <c r="L52" s="415"/>
    </row>
    <row r="53" spans="1:12" ht="12.75" customHeight="1">
      <c r="A53" s="420"/>
      <c r="B53" s="446"/>
      <c r="C53" s="431" t="s">
        <v>1149</v>
      </c>
      <c r="D53" s="415"/>
      <c r="E53" s="415"/>
      <c r="F53" s="411">
        <v>20000</v>
      </c>
      <c r="G53" s="423"/>
      <c r="H53" s="482"/>
      <c r="I53" s="536"/>
      <c r="J53" s="471"/>
      <c r="K53" s="415"/>
      <c r="L53" s="415"/>
    </row>
    <row r="54" spans="1:12" ht="12.75" customHeight="1">
      <c r="A54" s="420"/>
      <c r="B54" s="446"/>
      <c r="C54" s="431" t="s">
        <v>509</v>
      </c>
      <c r="D54" s="415"/>
      <c r="E54" s="415"/>
      <c r="F54" s="411">
        <v>150000</v>
      </c>
      <c r="G54" s="423"/>
      <c r="H54" s="482"/>
      <c r="I54" s="536"/>
      <c r="J54" s="471"/>
      <c r="K54" s="415"/>
      <c r="L54" s="415"/>
    </row>
    <row r="55" spans="1:12" ht="12.75" hidden="1" customHeight="1">
      <c r="A55" s="420"/>
      <c r="B55" s="446"/>
      <c r="C55" s="431" t="s">
        <v>986</v>
      </c>
      <c r="D55" s="415"/>
      <c r="E55" s="415"/>
      <c r="F55" s="411"/>
      <c r="G55" s="423"/>
      <c r="H55" s="482"/>
      <c r="I55" s="536"/>
      <c r="J55" s="471"/>
      <c r="K55" s="415"/>
      <c r="L55" s="415"/>
    </row>
    <row r="56" spans="1:12" ht="12.75" hidden="1" customHeight="1">
      <c r="A56" s="420"/>
      <c r="B56" s="446"/>
      <c r="C56" s="431" t="s">
        <v>987</v>
      </c>
      <c r="D56" s="415"/>
      <c r="E56" s="415"/>
      <c r="F56" s="411"/>
      <c r="G56" s="423"/>
      <c r="H56" s="482"/>
      <c r="I56" s="536"/>
      <c r="J56" s="471"/>
      <c r="K56" s="415"/>
      <c r="L56" s="415"/>
    </row>
    <row r="57" spans="1:12" ht="12.75" hidden="1" customHeight="1">
      <c r="A57" s="420"/>
      <c r="B57" s="446"/>
      <c r="C57" s="431" t="s">
        <v>988</v>
      </c>
      <c r="D57" s="415"/>
      <c r="E57" s="415"/>
      <c r="F57" s="411"/>
      <c r="G57" s="423"/>
      <c r="H57" s="482"/>
      <c r="I57" s="536"/>
      <c r="J57" s="471"/>
      <c r="K57" s="415"/>
      <c r="L57" s="415"/>
    </row>
    <row r="58" spans="1:12" ht="12.75" hidden="1" customHeight="1">
      <c r="A58" s="420"/>
      <c r="B58" s="446"/>
      <c r="C58" s="431" t="s">
        <v>989</v>
      </c>
      <c r="D58" s="415"/>
      <c r="E58" s="415"/>
      <c r="F58" s="411"/>
      <c r="G58" s="423"/>
      <c r="H58" s="482"/>
      <c r="I58" s="536"/>
      <c r="J58" s="471"/>
      <c r="K58" s="415"/>
      <c r="L58" s="415"/>
    </row>
    <row r="59" spans="1:12" ht="12.75" hidden="1" customHeight="1">
      <c r="A59" s="420"/>
      <c r="B59" s="446"/>
      <c r="C59" s="431"/>
      <c r="D59" s="415"/>
      <c r="E59" s="415"/>
      <c r="F59" s="411"/>
      <c r="G59" s="423"/>
      <c r="H59" s="482"/>
      <c r="I59" s="536"/>
      <c r="J59" s="471"/>
      <c r="K59" s="415"/>
      <c r="L59" s="415"/>
    </row>
    <row r="60" spans="1:12" ht="15" customHeight="1">
      <c r="A60" s="420"/>
      <c r="B60" s="446"/>
      <c r="C60" s="431"/>
      <c r="D60" s="415"/>
      <c r="E60" s="415"/>
      <c r="F60" s="448">
        <f>SUM(F49:F59)</f>
        <v>170000</v>
      </c>
      <c r="G60" s="415">
        <f>IF(F60&gt;150000,150000,F60)</f>
        <v>150000</v>
      </c>
      <c r="H60" s="482"/>
      <c r="I60" s="536"/>
      <c r="J60" s="471"/>
      <c r="K60" s="415"/>
      <c r="L60" s="415"/>
    </row>
    <row r="61" spans="1:12" ht="15" customHeight="1">
      <c r="A61" s="420"/>
      <c r="B61" s="446"/>
      <c r="C61" s="449" t="s">
        <v>1079</v>
      </c>
      <c r="D61" s="415"/>
      <c r="E61" s="415" t="s">
        <v>1149</v>
      </c>
      <c r="F61" s="450"/>
      <c r="G61" s="411">
        <v>50000</v>
      </c>
      <c r="H61" s="482"/>
      <c r="I61" s="536"/>
      <c r="J61" s="471"/>
      <c r="K61" s="415"/>
      <c r="L61" s="415"/>
    </row>
    <row r="62" spans="1:12" ht="15" hidden="1" customHeight="1">
      <c r="A62" s="420"/>
      <c r="B62" s="446"/>
      <c r="C62" s="449" t="s">
        <v>1078</v>
      </c>
      <c r="D62" s="415"/>
      <c r="E62" s="415"/>
      <c r="F62" s="450"/>
      <c r="G62" s="411"/>
      <c r="H62" s="482"/>
      <c r="I62" s="536"/>
      <c r="J62" s="471"/>
      <c r="K62" s="415"/>
      <c r="L62" s="415"/>
    </row>
    <row r="63" spans="1:12" ht="15" customHeight="1">
      <c r="A63" s="420"/>
      <c r="B63" s="446"/>
      <c r="C63" s="449" t="s">
        <v>852</v>
      </c>
      <c r="D63" s="415"/>
      <c r="E63" s="431" t="s">
        <v>1150</v>
      </c>
      <c r="F63" s="450"/>
      <c r="G63" s="411">
        <f>28000+14000</f>
        <v>42000</v>
      </c>
      <c r="H63" s="482"/>
      <c r="I63" s="536"/>
      <c r="J63" s="471"/>
      <c r="K63" s="415"/>
      <c r="L63" s="415"/>
    </row>
    <row r="64" spans="1:12" ht="15" hidden="1" customHeight="1">
      <c r="A64" s="420"/>
      <c r="B64" s="446"/>
      <c r="C64" s="449" t="s">
        <v>611</v>
      </c>
      <c r="D64" s="415"/>
      <c r="E64" s="415"/>
      <c r="F64" s="415"/>
      <c r="G64" s="411"/>
      <c r="H64" s="482"/>
      <c r="I64" s="536"/>
      <c r="J64" s="471"/>
      <c r="K64" s="415"/>
      <c r="L64" s="415"/>
    </row>
    <row r="65" spans="1:12" ht="15" customHeight="1">
      <c r="A65" s="420"/>
      <c r="B65" s="415"/>
      <c r="C65" s="449" t="s">
        <v>979</v>
      </c>
      <c r="D65" s="415"/>
      <c r="E65" s="428"/>
      <c r="F65" s="428"/>
      <c r="G65" s="447">
        <f>IF(G28&gt;10000, 10000, G28)</f>
        <v>10000</v>
      </c>
      <c r="H65" s="482"/>
      <c r="I65" s="536"/>
      <c r="J65" s="471"/>
      <c r="K65" s="415"/>
      <c r="L65" s="415"/>
    </row>
    <row r="66" spans="1:12">
      <c r="A66" s="420"/>
      <c r="B66" s="415"/>
      <c r="C66" s="543" t="s">
        <v>853</v>
      </c>
      <c r="D66" s="415"/>
      <c r="E66" s="428"/>
      <c r="F66" s="428"/>
      <c r="G66" s="411"/>
      <c r="H66" s="482">
        <f>SUM(G60:G66)</f>
        <v>252000</v>
      </c>
      <c r="I66" s="537">
        <f>IF(H66&lt;&gt;0,0,"NIL")</f>
        <v>0</v>
      </c>
      <c r="J66" s="472"/>
      <c r="K66" s="415"/>
      <c r="L66" s="415"/>
    </row>
    <row r="67" spans="1:12" ht="15.75" customHeight="1" thickBot="1">
      <c r="A67" s="420"/>
      <c r="B67" s="451" t="s">
        <v>777</v>
      </c>
      <c r="C67" s="415"/>
      <c r="D67" s="415"/>
      <c r="E67" s="452">
        <f>IF((H46-H66)&lt;0,0,(H46-H66))</f>
        <v>19472000</v>
      </c>
      <c r="F67" s="453" t="s">
        <v>779</v>
      </c>
      <c r="G67" s="440"/>
      <c r="H67" s="486">
        <f>ROUND((E67/10),0)*10</f>
        <v>19472000</v>
      </c>
      <c r="I67" s="539">
        <f>IF(H67&lt;&gt;0,0,"NIL")</f>
        <v>0</v>
      </c>
      <c r="J67" s="475"/>
      <c r="K67" s="415"/>
      <c r="L67" s="415"/>
    </row>
    <row r="68" spans="1:12" ht="15" customHeight="1" thickTop="1">
      <c r="A68" s="420"/>
      <c r="B68" s="450" t="s">
        <v>778</v>
      </c>
      <c r="C68" s="415"/>
      <c r="D68" s="415"/>
      <c r="E68" s="444" t="s">
        <v>521</v>
      </c>
      <c r="F68" s="454" t="s">
        <v>522</v>
      </c>
      <c r="G68" s="444" t="s">
        <v>524</v>
      </c>
      <c r="H68" s="487"/>
      <c r="J68" s="471"/>
      <c r="K68" s="415"/>
      <c r="L68" s="415"/>
    </row>
    <row r="69" spans="1:12" ht="15" customHeight="1">
      <c r="A69" s="420"/>
      <c r="B69" s="530">
        <v>0</v>
      </c>
      <c r="C69" s="408" t="s">
        <v>518</v>
      </c>
      <c r="D69" s="415"/>
      <c r="E69" s="455">
        <f>E67-E70</f>
        <v>19472000</v>
      </c>
      <c r="F69" s="456"/>
      <c r="G69" s="415">
        <f>IF(+Data!D2="Senior",ROUND(IF(E69&gt;1000000,(((E69-1000000)*0.3)+120000),IF(E69&gt;500000,(((E69-500000)*0.2)+20000),IF(E69&gt;300000,((E69-300000)*0.1),0))),0),ROUND(IF(E69&gt;1000000,(((E69-1000000)*0.3)+125000),IF(E69&gt;500000,(((E69-500000)*0.2)+25000),IF(E69&gt;250000,((E69-250000)*0.1),0))),0))</f>
        <v>5666600</v>
      </c>
      <c r="H69" s="487"/>
      <c r="J69" s="471"/>
      <c r="K69" s="415"/>
      <c r="L69" s="415"/>
    </row>
    <row r="70" spans="1:12" ht="15" hidden="1" customHeight="1">
      <c r="A70" s="420"/>
      <c r="B70" s="450"/>
      <c r="C70" s="408" t="s">
        <v>519</v>
      </c>
      <c r="D70" s="415"/>
      <c r="E70" s="410"/>
      <c r="F70" s="457">
        <v>0.15</v>
      </c>
      <c r="G70" s="523"/>
      <c r="H70" s="484"/>
      <c r="J70" s="471"/>
      <c r="K70" s="415"/>
      <c r="L70" s="415"/>
    </row>
    <row r="71" spans="1:12" ht="15" hidden="1" customHeight="1">
      <c r="A71" s="420"/>
      <c r="B71" s="415"/>
      <c r="C71" s="415"/>
      <c r="D71" s="456"/>
      <c r="E71" s="428"/>
      <c r="F71" s="415"/>
      <c r="G71" s="526">
        <f>G69+G70</f>
        <v>5666600</v>
      </c>
      <c r="H71" s="488"/>
      <c r="I71" s="537"/>
      <c r="J71" s="472"/>
      <c r="K71" s="415"/>
      <c r="L71" s="415"/>
    </row>
    <row r="72" spans="1:12" ht="15" customHeight="1">
      <c r="A72" s="420"/>
      <c r="B72" s="415"/>
      <c r="C72" s="408" t="s">
        <v>1151</v>
      </c>
      <c r="D72" s="456"/>
      <c r="E72" s="428"/>
      <c r="F72" s="415"/>
      <c r="G72" s="526">
        <f>G69*0.12</f>
        <v>679992</v>
      </c>
      <c r="H72" s="488"/>
      <c r="I72" s="537"/>
      <c r="J72" s="472"/>
      <c r="K72" s="415"/>
      <c r="L72" s="415"/>
    </row>
    <row r="73" spans="1:12" ht="15" customHeight="1">
      <c r="A73" s="420"/>
      <c r="C73" s="524"/>
      <c r="D73" s="456"/>
      <c r="E73" s="428"/>
      <c r="F73" s="415"/>
      <c r="G73" s="527">
        <f>IF(H67&gt;500000,0,IF(G71&gt;2000,2000,G71))</f>
        <v>0</v>
      </c>
      <c r="H73" s="489">
        <f>G71-G73+G72</f>
        <v>6346592</v>
      </c>
      <c r="I73" s="537">
        <f>IF(H73&lt;&gt;0,0,"NIL")</f>
        <v>0</v>
      </c>
      <c r="J73" s="472"/>
      <c r="K73" s="415"/>
      <c r="L73" s="415"/>
    </row>
    <row r="74" spans="1:12" ht="15" customHeight="1">
      <c r="A74" s="420"/>
      <c r="B74" s="408" t="s">
        <v>774</v>
      </c>
      <c r="C74" s="415"/>
      <c r="D74" s="456"/>
      <c r="E74" s="428"/>
      <c r="F74" s="415"/>
      <c r="G74" s="428"/>
      <c r="H74" s="489">
        <f>ROUND((H73)*0.02,0)</f>
        <v>126932</v>
      </c>
      <c r="I74" s="537">
        <f>IF(H74&lt;&gt;0,0,"NIL")</f>
        <v>0</v>
      </c>
      <c r="J74" s="472"/>
      <c r="K74" s="415"/>
      <c r="L74" s="415"/>
    </row>
    <row r="75" spans="1:12" ht="15" customHeight="1">
      <c r="A75" s="420"/>
      <c r="B75" s="408" t="s">
        <v>775</v>
      </c>
      <c r="C75" s="415"/>
      <c r="D75" s="456"/>
      <c r="E75" s="458"/>
      <c r="F75" s="415"/>
      <c r="G75" s="428"/>
      <c r="H75" s="528">
        <f>ROUND((H73)*0.01,0)</f>
        <v>63466</v>
      </c>
      <c r="I75" s="540">
        <f>IF(H75&lt;&gt;0,0,"NIL")</f>
        <v>0</v>
      </c>
      <c r="J75" s="474"/>
      <c r="K75" s="423"/>
      <c r="L75" s="423"/>
    </row>
    <row r="76" spans="1:12" ht="15" customHeight="1">
      <c r="A76" s="420"/>
      <c r="B76" s="450" t="s">
        <v>565</v>
      </c>
      <c r="C76" s="415"/>
      <c r="D76" s="456"/>
      <c r="E76" s="458"/>
      <c r="F76" s="415"/>
      <c r="G76" s="428"/>
      <c r="H76" s="488">
        <f>SUM(H73:H75)</f>
        <v>6536990</v>
      </c>
      <c r="I76" s="537"/>
      <c r="J76" s="472"/>
      <c r="K76" s="423"/>
      <c r="L76" s="423"/>
    </row>
    <row r="77" spans="1:12" ht="15" hidden="1" customHeight="1">
      <c r="A77" s="420"/>
      <c r="B77" s="427"/>
      <c r="C77" s="428"/>
      <c r="D77" s="428"/>
      <c r="E77" s="428"/>
      <c r="F77" s="428"/>
      <c r="G77" s="428"/>
      <c r="H77" s="528"/>
      <c r="I77" s="540"/>
      <c r="J77" s="473"/>
      <c r="K77" s="423"/>
      <c r="L77" s="427"/>
    </row>
    <row r="78" spans="1:12" ht="15" hidden="1" customHeight="1">
      <c r="A78" s="420"/>
      <c r="B78" s="450"/>
      <c r="C78" s="428"/>
      <c r="D78" s="428"/>
      <c r="E78" s="428"/>
      <c r="F78" s="428"/>
      <c r="G78" s="428"/>
      <c r="H78" s="491">
        <f>H76+H77</f>
        <v>6536990</v>
      </c>
      <c r="I78" s="537"/>
      <c r="J78" s="472"/>
      <c r="K78" s="415"/>
      <c r="L78" s="415"/>
    </row>
    <row r="79" spans="1:12" ht="15" hidden="1" customHeight="1">
      <c r="A79" s="420"/>
      <c r="B79" s="652" t="s">
        <v>523</v>
      </c>
      <c r="C79" s="428"/>
      <c r="D79" s="428"/>
      <c r="E79" s="428"/>
      <c r="F79" s="428"/>
      <c r="G79" s="428"/>
      <c r="H79" s="492">
        <v>0</v>
      </c>
      <c r="I79" s="540" t="str">
        <f>IF(H79&lt;&gt;0,0,"NIL")</f>
        <v>NIL</v>
      </c>
      <c r="J79" s="473"/>
      <c r="K79" s="415"/>
      <c r="L79" s="415"/>
    </row>
    <row r="80" spans="1:12" ht="15" hidden="1" customHeight="1">
      <c r="A80" s="420"/>
      <c r="B80" s="450" t="s">
        <v>768</v>
      </c>
      <c r="C80" s="428"/>
      <c r="D80" s="428"/>
      <c r="E80" s="428"/>
      <c r="F80" s="428"/>
      <c r="G80" s="428"/>
      <c r="H80" s="490">
        <f>H78+H79</f>
        <v>6536990</v>
      </c>
      <c r="I80" s="537">
        <f>IF(H80&lt;&gt;0,0,"NIL")</f>
        <v>0</v>
      </c>
      <c r="J80" s="472"/>
      <c r="K80" s="415"/>
      <c r="L80" s="415"/>
    </row>
    <row r="81" spans="1:16" ht="15" customHeight="1">
      <c r="A81" s="420"/>
      <c r="B81" s="421" t="s">
        <v>571</v>
      </c>
      <c r="C81" s="428"/>
      <c r="D81" s="428"/>
      <c r="E81" s="428"/>
      <c r="F81" s="428"/>
      <c r="G81" s="428"/>
      <c r="H81" s="490"/>
      <c r="I81" s="537"/>
      <c r="J81" s="471"/>
      <c r="K81" s="415"/>
      <c r="L81" s="415"/>
    </row>
    <row r="82" spans="1:16" ht="15" hidden="1" customHeight="1">
      <c r="A82" s="420"/>
      <c r="B82" s="415"/>
      <c r="C82" s="1115" t="s">
        <v>993</v>
      </c>
      <c r="D82" s="1115"/>
      <c r="E82" s="1115"/>
      <c r="F82" s="1115"/>
      <c r="G82" s="447"/>
      <c r="H82" s="482"/>
      <c r="I82" s="536"/>
      <c r="J82" s="472"/>
      <c r="K82" s="415"/>
      <c r="L82" s="415"/>
    </row>
    <row r="83" spans="1:16" ht="15" customHeight="1">
      <c r="A83" s="420"/>
      <c r="B83" s="588">
        <f>SUM(G82:G85)</f>
        <v>6347000</v>
      </c>
      <c r="C83" s="1115" t="s">
        <v>1152</v>
      </c>
      <c r="D83" s="1115"/>
      <c r="E83" s="1115"/>
      <c r="F83" s="1115"/>
      <c r="G83" s="410">
        <v>6317000</v>
      </c>
      <c r="H83" s="482"/>
      <c r="I83" s="536"/>
      <c r="J83" s="472"/>
      <c r="K83" s="415"/>
      <c r="L83" s="415"/>
    </row>
    <row r="84" spans="1:16" ht="12.75" hidden="1" customHeight="1">
      <c r="A84" s="420"/>
      <c r="B84" s="459"/>
      <c r="C84" s="1115"/>
      <c r="D84" s="1115"/>
      <c r="E84" s="1115"/>
      <c r="F84" s="1115"/>
      <c r="G84" s="410"/>
      <c r="H84" s="482"/>
      <c r="I84" s="536"/>
      <c r="J84" s="472"/>
      <c r="K84" s="415"/>
      <c r="L84" s="415"/>
    </row>
    <row r="85" spans="1:16" ht="12.75" customHeight="1">
      <c r="A85" s="420"/>
      <c r="B85" s="459"/>
      <c r="C85" s="1115" t="s">
        <v>1153</v>
      </c>
      <c r="D85" s="1115"/>
      <c r="E85" s="1115"/>
      <c r="F85" s="1115"/>
      <c r="G85" s="410">
        <v>30000</v>
      </c>
      <c r="H85" s="482"/>
      <c r="I85" s="536"/>
      <c r="J85" s="472"/>
      <c r="K85" s="415"/>
      <c r="L85" s="408"/>
    </row>
    <row r="86" spans="1:16" ht="12.75" customHeight="1" thickBot="1">
      <c r="A86" s="414"/>
      <c r="B86" s="477"/>
      <c r="C86" s="1117" t="s">
        <v>1154</v>
      </c>
      <c r="D86" s="1117"/>
      <c r="E86" s="1117"/>
      <c r="F86" s="1117"/>
      <c r="G86" s="481">
        <f>IF(H80-SUM(G82:G85)&gt;0,(H80-SUM(G82:G85)),0)</f>
        <v>189990</v>
      </c>
      <c r="H86" s="493">
        <f>SUM(G82:G86)</f>
        <v>6536990</v>
      </c>
      <c r="I86" s="541">
        <f>IF(H86&lt;&gt;0,0,"NIL")</f>
        <v>0</v>
      </c>
      <c r="J86" s="478"/>
      <c r="K86" s="415"/>
      <c r="L86" s="408"/>
    </row>
    <row r="87" spans="1:16" ht="18" customHeight="1" thickBot="1">
      <c r="A87" s="494"/>
      <c r="B87" s="495" t="str">
        <f>IF(H87=0,"TAX  PAYABLE / REFUND ",IF(H87&lt;0,"REFUND","TAX  PAYABLE"))</f>
        <v xml:space="preserve">TAX  PAYABLE / REFUND </v>
      </c>
      <c r="C87" s="496"/>
      <c r="D87" s="496"/>
      <c r="E87" s="497"/>
      <c r="F87" s="498" t="s">
        <v>776</v>
      </c>
      <c r="G87" s="497"/>
      <c r="H87" s="499">
        <f>ROUND((H80-H86)/10,0)*10</f>
        <v>0</v>
      </c>
      <c r="I87" s="542" t="str">
        <f>IF(H87&lt;&gt;0,0,"NIL")</f>
        <v>NIL</v>
      </c>
      <c r="J87" s="500"/>
      <c r="K87" s="415"/>
      <c r="L87" s="408"/>
    </row>
    <row r="88" spans="1:16">
      <c r="A88" s="567"/>
      <c r="B88" s="570"/>
      <c r="C88" s="570"/>
      <c r="D88" s="570"/>
      <c r="E88" s="570"/>
      <c r="F88" s="570"/>
      <c r="G88" s="570"/>
      <c r="H88" s="570"/>
      <c r="I88" s="568"/>
      <c r="J88" s="569"/>
      <c r="K88" s="415"/>
      <c r="L88" s="408"/>
      <c r="M88" s="554"/>
      <c r="N88" s="554"/>
      <c r="O88" s="554"/>
      <c r="P88" s="554"/>
    </row>
    <row r="89" spans="1:16">
      <c r="A89" s="567"/>
      <c r="B89" s="554"/>
      <c r="C89" s="554"/>
      <c r="D89" s="554"/>
      <c r="E89" s="554"/>
      <c r="F89" s="554"/>
      <c r="G89" s="554"/>
      <c r="H89" s="554"/>
      <c r="I89" s="568"/>
      <c r="J89" s="569"/>
      <c r="K89" s="415"/>
      <c r="L89" s="408"/>
      <c r="M89" s="554"/>
      <c r="N89" s="554"/>
      <c r="O89" s="554"/>
      <c r="P89" s="554"/>
    </row>
    <row r="90" spans="1:16">
      <c r="A90" s="567"/>
      <c r="B90" s="554"/>
      <c r="C90" s="554"/>
      <c r="D90" s="554"/>
      <c r="E90" s="554"/>
      <c r="F90" s="554"/>
      <c r="G90" s="554"/>
      <c r="H90" s="554"/>
      <c r="I90" s="568"/>
      <c r="J90" s="569"/>
      <c r="K90" s="415"/>
      <c r="L90" s="408"/>
      <c r="M90" s="554"/>
      <c r="N90" s="554"/>
      <c r="O90" s="554"/>
      <c r="P90" s="554"/>
    </row>
    <row r="91" spans="1:16">
      <c r="A91" s="567"/>
      <c r="B91" s="554"/>
      <c r="C91" s="554"/>
      <c r="D91" s="554"/>
      <c r="E91" s="554"/>
      <c r="F91" s="554"/>
      <c r="G91" s="554"/>
      <c r="H91" s="554"/>
      <c r="I91" s="568"/>
      <c r="J91" s="569"/>
      <c r="K91" s="415"/>
      <c r="L91" s="408"/>
      <c r="M91" s="554"/>
      <c r="N91" s="554"/>
      <c r="O91" s="554"/>
      <c r="P91" s="554"/>
    </row>
    <row r="92" spans="1:16">
      <c r="A92" s="567"/>
      <c r="B92" s="554"/>
      <c r="C92" s="554"/>
      <c r="D92" s="554"/>
      <c r="E92" s="554"/>
      <c r="F92" s="554"/>
      <c r="G92" s="554"/>
      <c r="H92" s="554"/>
      <c r="I92" s="568"/>
      <c r="J92" s="569"/>
      <c r="K92" s="415"/>
      <c r="L92" s="408"/>
      <c r="M92" s="554"/>
      <c r="N92" s="554"/>
      <c r="O92" s="554"/>
      <c r="P92" s="554"/>
    </row>
    <row r="93" spans="1:16">
      <c r="A93" s="567"/>
      <c r="B93" s="554"/>
      <c r="C93" s="554"/>
      <c r="D93" s="554"/>
      <c r="E93" s="554"/>
      <c r="F93" s="554"/>
      <c r="G93" s="554"/>
      <c r="H93" s="554"/>
      <c r="I93" s="568"/>
      <c r="J93" s="569"/>
      <c r="K93" s="415"/>
      <c r="L93" s="408"/>
      <c r="M93" s="554"/>
      <c r="N93" s="554"/>
      <c r="O93" s="554"/>
      <c r="P93" s="554"/>
    </row>
  </sheetData>
  <mergeCells count="7">
    <mergeCell ref="C86:F86"/>
    <mergeCell ref="A1:J1"/>
    <mergeCell ref="A2:J2"/>
    <mergeCell ref="C82:F82"/>
    <mergeCell ref="C83:F83"/>
    <mergeCell ref="C84:F84"/>
    <mergeCell ref="C85:F85"/>
  </mergeCells>
  <conditionalFormatting sqref="F70">
    <cfRule type="expression" dxfId="7" priority="1" stopIfTrue="1">
      <formula>"""$E$55=0"""</formula>
    </cfRule>
  </conditionalFormatting>
  <dataValidations count="2">
    <dataValidation type="list" errorStyle="information" allowBlank="1" showInputMessage="1" showErrorMessage="1" sqref="C51">
      <formula1>"ICICI PRUDENTIAL PREM, BAJAJ ALLIANZ LIFE INSURANCE PREM., LIC  PREMIUM, ULIP PREMIUM"</formula1>
    </dataValidation>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P88"/>
  <sheetViews>
    <sheetView showZeros="0"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9.42578125" style="416" customWidth="1"/>
    <col min="8" max="8" width="11.140625" style="416" customWidth="1"/>
    <col min="9" max="9" width="4.28515625" style="526" customWidth="1"/>
    <col min="10" max="10" width="1.85546875" style="476" customWidth="1"/>
    <col min="11" max="16384" width="9.140625" style="416"/>
  </cols>
  <sheetData>
    <row r="1" spans="1:12" s="413" customFormat="1" ht="18.75" customHeight="1">
      <c r="A1" s="1108" t="s">
        <v>1083</v>
      </c>
      <c r="B1" s="1109"/>
      <c r="C1" s="1109"/>
      <c r="D1" s="1109"/>
      <c r="E1" s="1109"/>
      <c r="F1" s="1109"/>
      <c r="G1" s="1109"/>
      <c r="H1" s="1109"/>
      <c r="I1" s="1109"/>
      <c r="J1" s="1110"/>
      <c r="K1" s="412"/>
      <c r="L1" s="412"/>
    </row>
    <row r="2" spans="1:12" ht="18" customHeight="1" thickBot="1">
      <c r="A2" s="1111" t="s">
        <v>562</v>
      </c>
      <c r="B2" s="1112"/>
      <c r="C2" s="1112"/>
      <c r="D2" s="1112"/>
      <c r="E2" s="1112"/>
      <c r="F2" s="1112"/>
      <c r="G2" s="1112"/>
      <c r="H2" s="1112"/>
      <c r="I2" s="1112"/>
      <c r="J2" s="1113"/>
      <c r="K2" s="415"/>
      <c r="L2" s="415"/>
    </row>
    <row r="3" spans="1:12" ht="20.100000000000001" customHeight="1">
      <c r="A3" s="417"/>
      <c r="B3" s="418" t="s">
        <v>994</v>
      </c>
      <c r="C3" s="419"/>
      <c r="D3" s="419"/>
      <c r="E3" s="419"/>
      <c r="F3" s="419"/>
      <c r="G3" s="419"/>
      <c r="H3" s="501" t="s">
        <v>1013</v>
      </c>
      <c r="I3" s="535"/>
      <c r="J3" s="470"/>
      <c r="K3" s="415"/>
      <c r="L3" s="415"/>
    </row>
    <row r="4" spans="1:12" ht="15" customHeight="1">
      <c r="A4" s="420"/>
      <c r="B4" s="421"/>
      <c r="C4" s="422" t="s">
        <v>567</v>
      </c>
      <c r="D4" s="422"/>
      <c r="E4" s="415"/>
      <c r="F4" s="423"/>
      <c r="G4" s="411">
        <v>8600000</v>
      </c>
      <c r="H4" s="482"/>
      <c r="I4" s="536"/>
      <c r="J4" s="471"/>
      <c r="K4" s="415"/>
      <c r="L4" s="415"/>
    </row>
    <row r="5" spans="1:12" ht="15" customHeight="1">
      <c r="A5" s="420"/>
      <c r="B5" s="415"/>
      <c r="C5" s="408" t="s">
        <v>1157</v>
      </c>
      <c r="D5" s="415"/>
      <c r="E5" s="415"/>
      <c r="F5" s="415"/>
      <c r="G5" s="425">
        <v>3000</v>
      </c>
      <c r="H5" s="484"/>
      <c r="I5" s="537">
        <f>IF(H6&lt;&gt;0,0,"NIL")</f>
        <v>0</v>
      </c>
      <c r="J5" s="472"/>
      <c r="K5" s="415"/>
      <c r="L5" s="415"/>
    </row>
    <row r="6" spans="1:12" ht="15" customHeight="1" thickBot="1">
      <c r="A6" s="420"/>
      <c r="B6" s="415"/>
      <c r="C6" s="408"/>
      <c r="D6" s="415"/>
      <c r="E6" s="415"/>
      <c r="F6" s="415"/>
      <c r="G6" s="662">
        <f>G4+G5</f>
        <v>8603000</v>
      </c>
      <c r="H6" s="482">
        <f>+G6</f>
        <v>8603000</v>
      </c>
      <c r="I6" s="537"/>
      <c r="J6" s="472"/>
      <c r="K6" s="415"/>
      <c r="L6" s="415"/>
    </row>
    <row r="7" spans="1:12" ht="15" customHeight="1" thickTop="1">
      <c r="A7" s="420"/>
      <c r="B7" s="426" t="s">
        <v>995</v>
      </c>
      <c r="C7" s="415"/>
      <c r="D7" s="415"/>
      <c r="E7" s="525" t="s">
        <v>1014</v>
      </c>
      <c r="F7" s="423"/>
      <c r="G7" s="415"/>
      <c r="H7" s="482"/>
      <c r="I7" s="537"/>
      <c r="J7" s="472"/>
      <c r="K7" s="415"/>
      <c r="L7" s="415"/>
    </row>
    <row r="8" spans="1:12" ht="15" customHeight="1">
      <c r="A8" s="420"/>
      <c r="B8" s="426"/>
      <c r="C8" s="583" t="s">
        <v>1127</v>
      </c>
      <c r="D8" s="422"/>
      <c r="E8" s="663"/>
      <c r="F8" s="653"/>
      <c r="G8" s="654">
        <v>800000</v>
      </c>
      <c r="H8" s="482"/>
      <c r="I8" s="537"/>
      <c r="J8" s="472"/>
      <c r="K8" s="415"/>
      <c r="L8" s="415"/>
    </row>
    <row r="9" spans="1:12" ht="15" customHeight="1">
      <c r="A9" s="420"/>
      <c r="B9" s="426"/>
      <c r="C9" s="431" t="s">
        <v>769</v>
      </c>
      <c r="D9" s="422"/>
      <c r="E9" s="427"/>
      <c r="F9" s="653"/>
      <c r="G9" s="655">
        <v>10000</v>
      </c>
      <c r="H9" s="482"/>
      <c r="I9" s="537"/>
      <c r="J9" s="472"/>
      <c r="K9" s="415"/>
      <c r="L9" s="415"/>
    </row>
    <row r="10" spans="1:12" ht="15" customHeight="1">
      <c r="A10" s="420"/>
      <c r="B10" s="426"/>
      <c r="C10" s="583"/>
      <c r="D10" s="422"/>
      <c r="E10" s="427"/>
      <c r="F10" s="653"/>
      <c r="G10" s="656">
        <f>G8-G9</f>
        <v>790000</v>
      </c>
      <c r="H10" s="482"/>
      <c r="I10" s="537"/>
      <c r="J10" s="472"/>
      <c r="K10" s="415"/>
      <c r="L10" s="415"/>
    </row>
    <row r="11" spans="1:12" ht="15" customHeight="1">
      <c r="A11" s="420"/>
      <c r="B11" s="426"/>
      <c r="C11" s="590" t="s">
        <v>514</v>
      </c>
      <c r="D11" s="415"/>
      <c r="E11" s="408" t="s">
        <v>1093</v>
      </c>
      <c r="F11" s="408">
        <f>G10*0.3</f>
        <v>237000</v>
      </c>
      <c r="G11" s="664"/>
      <c r="H11" s="424"/>
      <c r="I11" s="537"/>
      <c r="J11" s="472"/>
      <c r="K11" s="415"/>
      <c r="L11" s="415"/>
    </row>
    <row r="12" spans="1:12" ht="15" customHeight="1">
      <c r="A12" s="420"/>
      <c r="B12" s="426"/>
      <c r="D12" s="415"/>
      <c r="E12" s="408" t="s">
        <v>1147</v>
      </c>
      <c r="F12" s="657">
        <v>410000</v>
      </c>
      <c r="G12" s="658">
        <f>F11+F12</f>
        <v>647000</v>
      </c>
      <c r="H12" s="424"/>
      <c r="I12" s="537"/>
      <c r="J12" s="472"/>
      <c r="K12" s="415"/>
      <c r="L12" s="415"/>
    </row>
    <row r="13" spans="1:12" ht="15" customHeight="1">
      <c r="A13" s="420"/>
      <c r="B13" s="426"/>
      <c r="D13" s="415"/>
      <c r="E13" s="415"/>
      <c r="F13" s="423"/>
      <c r="G13" s="665">
        <f>G10-G12</f>
        <v>143000</v>
      </c>
      <c r="H13" s="424"/>
      <c r="I13" s="537"/>
      <c r="J13" s="472"/>
      <c r="K13" s="415"/>
      <c r="L13" s="415"/>
    </row>
    <row r="14" spans="1:12" ht="15" customHeight="1">
      <c r="A14" s="420"/>
      <c r="B14" s="426"/>
      <c r="D14" s="415" t="s">
        <v>1158</v>
      </c>
      <c r="E14" s="415"/>
      <c r="F14" s="423"/>
      <c r="G14" s="665">
        <v>90000</v>
      </c>
      <c r="H14" s="424"/>
      <c r="I14" s="537"/>
      <c r="J14" s="472"/>
      <c r="K14" s="415"/>
      <c r="L14" s="415"/>
    </row>
    <row r="15" spans="1:12" ht="15" customHeight="1" thickBot="1">
      <c r="A15" s="420"/>
      <c r="B15" s="415"/>
      <c r="D15" s="415"/>
      <c r="G15" s="661">
        <f>G13-G14</f>
        <v>53000</v>
      </c>
      <c r="H15" s="482">
        <f>+G15</f>
        <v>53000</v>
      </c>
      <c r="I15" s="537">
        <f>IF(H15&lt;&gt;0,0,"NIL")</f>
        <v>0</v>
      </c>
      <c r="J15" s="472"/>
      <c r="K15" s="415"/>
      <c r="L15" s="415"/>
    </row>
    <row r="16" spans="1:12" ht="17.25" hidden="1" customHeight="1">
      <c r="A16" s="420"/>
      <c r="B16" s="421" t="s">
        <v>996</v>
      </c>
      <c r="C16" s="408"/>
      <c r="D16" s="415"/>
      <c r="E16" s="429"/>
      <c r="F16" s="423"/>
      <c r="G16" s="415"/>
      <c r="H16" s="482"/>
      <c r="I16" s="537"/>
      <c r="J16" s="472"/>
      <c r="K16" s="415"/>
      <c r="L16" s="415"/>
    </row>
    <row r="17" spans="1:12" ht="15" hidden="1" customHeight="1">
      <c r="A17" s="420"/>
      <c r="B17" s="415"/>
      <c r="C17" s="408" t="s">
        <v>991</v>
      </c>
      <c r="D17" s="415"/>
      <c r="E17" s="429"/>
      <c r="F17" s="423"/>
      <c r="G17" s="411"/>
      <c r="H17" s="482"/>
      <c r="I17" s="537"/>
      <c r="J17" s="472"/>
      <c r="K17" s="415"/>
      <c r="L17" s="415"/>
    </row>
    <row r="18" spans="1:12" ht="15" hidden="1" customHeight="1">
      <c r="A18" s="420"/>
      <c r="B18" s="415"/>
      <c r="C18" s="408" t="s">
        <v>992</v>
      </c>
      <c r="D18" s="415"/>
      <c r="E18" s="429"/>
      <c r="F18" s="423"/>
      <c r="G18" s="479"/>
      <c r="H18" s="483">
        <f>G17-G18</f>
        <v>0</v>
      </c>
      <c r="I18" s="537" t="str">
        <f>IF(H18&lt;&gt;0,0,"NIL")</f>
        <v>NIL</v>
      </c>
      <c r="J18" s="472"/>
      <c r="K18" s="415"/>
      <c r="L18" s="415"/>
    </row>
    <row r="19" spans="1:12" ht="15" hidden="1" customHeight="1" thickTop="1">
      <c r="A19" s="420"/>
      <c r="B19" s="421" t="s">
        <v>997</v>
      </c>
      <c r="C19" s="415"/>
      <c r="D19" s="415"/>
      <c r="E19" s="415"/>
      <c r="F19" s="415"/>
      <c r="G19" s="415"/>
      <c r="H19" s="482"/>
      <c r="I19" s="537"/>
      <c r="J19" s="472"/>
      <c r="K19" s="415"/>
      <c r="L19" s="415"/>
    </row>
    <row r="20" spans="1:12" ht="13.5" hidden="1" thickTop="1">
      <c r="A20" s="420"/>
      <c r="B20" s="415"/>
      <c r="C20" s="408" t="s">
        <v>498</v>
      </c>
      <c r="D20" s="415"/>
      <c r="E20" s="415"/>
      <c r="F20" s="415"/>
      <c r="G20" s="411"/>
      <c r="H20" s="482"/>
      <c r="I20" s="537"/>
      <c r="J20" s="472"/>
      <c r="K20" s="415"/>
      <c r="L20" s="415"/>
    </row>
    <row r="21" spans="1:12" ht="13.5" hidden="1" thickTop="1">
      <c r="A21" s="420"/>
      <c r="B21" s="415"/>
      <c r="C21" s="408" t="s">
        <v>77</v>
      </c>
      <c r="D21" s="415"/>
      <c r="E21" s="415"/>
      <c r="F21" s="415"/>
      <c r="G21" s="479"/>
      <c r="H21" s="482">
        <f>G20+G21</f>
        <v>0</v>
      </c>
      <c r="I21" s="537" t="str">
        <f>IF(H21&lt;&gt;0,0,"NIL")</f>
        <v>NIL</v>
      </c>
      <c r="J21" s="472"/>
      <c r="K21" s="415"/>
      <c r="L21" s="415"/>
    </row>
    <row r="22" spans="1:12" ht="20.100000000000001" customHeight="1" thickTop="1">
      <c r="A22" s="420"/>
      <c r="B22" s="421" t="s">
        <v>998</v>
      </c>
      <c r="C22" s="415"/>
      <c r="D22" s="415"/>
      <c r="E22" s="415"/>
      <c r="F22" s="415"/>
      <c r="G22" s="415"/>
      <c r="H22" s="482"/>
      <c r="I22" s="536"/>
      <c r="J22" s="471"/>
      <c r="K22" s="415"/>
      <c r="L22" s="415"/>
    </row>
    <row r="23" spans="1:12" ht="13.5">
      <c r="A23" s="420"/>
      <c r="B23" s="589"/>
      <c r="C23" s="408" t="s">
        <v>1159</v>
      </c>
      <c r="D23" s="431"/>
      <c r="E23" s="431"/>
      <c r="F23" s="415"/>
      <c r="G23" s="411">
        <v>18000</v>
      </c>
      <c r="H23" s="482"/>
      <c r="I23" s="536"/>
      <c r="J23" s="471"/>
      <c r="K23" s="415"/>
      <c r="L23" s="415"/>
    </row>
    <row r="24" spans="1:12" ht="13.5" hidden="1">
      <c r="A24" s="420"/>
      <c r="B24" s="589"/>
      <c r="C24" s="408"/>
      <c r="D24" s="431"/>
      <c r="E24" s="431"/>
      <c r="F24" s="408"/>
      <c r="G24" s="411"/>
      <c r="H24" s="482"/>
      <c r="I24" s="536"/>
      <c r="J24" s="471"/>
      <c r="K24" s="415"/>
      <c r="L24" s="415"/>
    </row>
    <row r="25" spans="1:12" ht="13.5">
      <c r="A25" s="420"/>
      <c r="B25" s="589"/>
      <c r="C25" s="408" t="s">
        <v>1160</v>
      </c>
      <c r="D25" s="431"/>
      <c r="E25" s="431" t="s">
        <v>1162</v>
      </c>
      <c r="F25" s="431"/>
      <c r="G25" s="462">
        <v>30000</v>
      </c>
      <c r="H25" s="482"/>
      <c r="I25" s="536"/>
      <c r="J25" s="471"/>
      <c r="K25" s="415"/>
      <c r="L25" s="415"/>
    </row>
    <row r="26" spans="1:12" ht="15" customHeight="1">
      <c r="A26" s="420"/>
      <c r="B26" s="589"/>
      <c r="C26" s="431"/>
      <c r="D26" s="434"/>
      <c r="E26" s="433"/>
      <c r="F26" s="433"/>
      <c r="G26" s="660">
        <f>SUM(G23:G25)</f>
        <v>48000</v>
      </c>
      <c r="H26" s="482"/>
      <c r="I26" s="536"/>
      <c r="J26" s="471"/>
      <c r="K26" s="415"/>
      <c r="L26" s="415"/>
    </row>
    <row r="27" spans="1:12" ht="15" hidden="1" customHeight="1">
      <c r="A27" s="420"/>
      <c r="B27" s="589"/>
      <c r="C27" s="435" t="s">
        <v>512</v>
      </c>
      <c r="D27" s="436"/>
      <c r="E27" s="436"/>
      <c r="F27" s="436"/>
      <c r="G27" s="437"/>
      <c r="H27" s="482"/>
      <c r="I27" s="536"/>
      <c r="J27" s="471"/>
      <c r="K27" s="415"/>
      <c r="L27" s="415"/>
    </row>
    <row r="28" spans="1:12" ht="15" hidden="1" customHeight="1">
      <c r="A28" s="420"/>
      <c r="B28" s="589"/>
      <c r="G28" s="410"/>
      <c r="H28" s="482"/>
      <c r="I28" s="536"/>
      <c r="J28" s="471"/>
      <c r="K28" s="415"/>
      <c r="L28" s="415"/>
    </row>
    <row r="29" spans="1:12" ht="15" hidden="1" customHeight="1">
      <c r="A29" s="420"/>
      <c r="B29" s="589"/>
      <c r="G29" s="410"/>
      <c r="H29" s="482"/>
      <c r="I29" s="536"/>
      <c r="J29" s="471"/>
      <c r="K29" s="415"/>
      <c r="L29" s="415"/>
    </row>
    <row r="30" spans="1:12" ht="15" hidden="1" customHeight="1">
      <c r="A30" s="420"/>
      <c r="B30" s="589"/>
      <c r="C30" s="436" t="s">
        <v>846</v>
      </c>
      <c r="D30" s="436"/>
      <c r="E30" s="415"/>
      <c r="F30" s="438"/>
      <c r="G30" s="437"/>
      <c r="H30" s="482"/>
      <c r="I30" s="536"/>
      <c r="J30" s="471"/>
      <c r="K30" s="415"/>
      <c r="L30" s="415"/>
    </row>
    <row r="31" spans="1:12" ht="15" hidden="1" customHeight="1">
      <c r="A31" s="420"/>
      <c r="B31" s="589"/>
      <c r="C31" s="432" t="s">
        <v>847</v>
      </c>
      <c r="D31" s="415"/>
      <c r="E31" s="415"/>
      <c r="F31" s="461">
        <f>ROUND(IF(F30/3&gt;15000,15000,F30/3),0)</f>
        <v>0</v>
      </c>
      <c r="G31" s="447">
        <f>F30-F31</f>
        <v>0</v>
      </c>
      <c r="H31" s="482"/>
      <c r="I31" s="536"/>
      <c r="J31" s="471"/>
      <c r="K31" s="415"/>
      <c r="L31" s="415"/>
    </row>
    <row r="32" spans="1:12" ht="15" hidden="1" customHeight="1">
      <c r="A32" s="420"/>
      <c r="B32" s="589"/>
      <c r="C32" s="415"/>
      <c r="D32" s="415"/>
      <c r="E32" s="415"/>
      <c r="F32" s="415"/>
      <c r="G32" s="480">
        <f>SUM(G28:G31)</f>
        <v>0</v>
      </c>
      <c r="H32" s="484"/>
      <c r="J32" s="472"/>
      <c r="K32" s="415"/>
      <c r="L32" s="415"/>
    </row>
    <row r="33" spans="1:12" ht="15" customHeight="1">
      <c r="A33" s="420"/>
      <c r="B33" s="589"/>
      <c r="C33" s="415"/>
      <c r="D33" s="415"/>
      <c r="E33" s="415"/>
      <c r="F33" s="415"/>
      <c r="G33" s="437"/>
      <c r="H33" s="482">
        <f>G26+G32</f>
        <v>48000</v>
      </c>
      <c r="I33" s="537">
        <f>IF(H33&lt;&gt;0,0,"NIL")</f>
        <v>0</v>
      </c>
      <c r="J33" s="472"/>
      <c r="K33" s="415"/>
      <c r="L33" s="415"/>
    </row>
    <row r="34" spans="1:12" ht="15" hidden="1" customHeight="1">
      <c r="A34" s="420"/>
      <c r="B34" s="589"/>
      <c r="C34" s="439" t="s">
        <v>564</v>
      </c>
      <c r="D34" s="436"/>
      <c r="E34" s="436"/>
      <c r="F34" s="440"/>
      <c r="G34" s="437"/>
      <c r="H34" s="484"/>
      <c r="J34" s="472"/>
      <c r="K34" s="415"/>
      <c r="L34" s="415"/>
    </row>
    <row r="35" spans="1:12" ht="12.75" hidden="1" customHeight="1">
      <c r="A35" s="420"/>
      <c r="B35" s="421"/>
      <c r="C35" s="409" t="s">
        <v>851</v>
      </c>
      <c r="D35" s="436"/>
      <c r="E35" s="441"/>
      <c r="F35" s="442"/>
      <c r="G35" s="430"/>
      <c r="H35" s="482"/>
      <c r="I35" s="536"/>
      <c r="J35" s="471"/>
      <c r="K35" s="415"/>
      <c r="L35" s="415"/>
    </row>
    <row r="36" spans="1:12" ht="12.75" hidden="1" customHeight="1">
      <c r="A36" s="420"/>
      <c r="B36" s="421"/>
      <c r="C36" s="409" t="s">
        <v>981</v>
      </c>
      <c r="D36" s="436"/>
      <c r="E36" s="441"/>
      <c r="F36" s="442"/>
      <c r="G36" s="430"/>
      <c r="H36" s="482"/>
      <c r="I36" s="536"/>
      <c r="J36" s="471"/>
      <c r="K36" s="415"/>
      <c r="L36" s="415"/>
    </row>
    <row r="37" spans="1:12" ht="12.75" hidden="1" customHeight="1">
      <c r="A37" s="420"/>
      <c r="B37" s="421"/>
      <c r="C37" s="409" t="s">
        <v>982</v>
      </c>
      <c r="D37" s="436"/>
      <c r="E37" s="441"/>
      <c r="F37" s="442"/>
      <c r="G37" s="430"/>
      <c r="H37" s="482"/>
      <c r="I37" s="536"/>
      <c r="J37" s="471"/>
      <c r="K37" s="415"/>
      <c r="L37" s="415"/>
    </row>
    <row r="38" spans="1:12" ht="12.75" hidden="1" customHeight="1">
      <c r="A38" s="420"/>
      <c r="B38" s="421"/>
      <c r="C38" s="409" t="s">
        <v>983</v>
      </c>
      <c r="D38" s="436"/>
      <c r="E38" s="415"/>
      <c r="F38" s="442"/>
      <c r="G38" s="430"/>
      <c r="H38" s="482"/>
      <c r="I38" s="536"/>
      <c r="J38" s="471"/>
      <c r="K38" s="415"/>
      <c r="L38" s="415"/>
    </row>
    <row r="39" spans="1:12" ht="12.75" hidden="1" customHeight="1" thickBot="1">
      <c r="A39" s="420"/>
      <c r="B39" s="428"/>
      <c r="C39" s="435"/>
      <c r="D39" s="436"/>
      <c r="E39" s="415"/>
      <c r="F39" s="443">
        <f>SUM(F35:F38)</f>
        <v>0</v>
      </c>
      <c r="G39" s="437"/>
      <c r="H39" s="484"/>
      <c r="J39" s="471"/>
      <c r="K39" s="415"/>
      <c r="L39" s="415"/>
    </row>
    <row r="40" spans="1:12" ht="12.75" customHeight="1">
      <c r="A40" s="420"/>
      <c r="B40" s="428"/>
      <c r="C40" s="435"/>
      <c r="D40" s="436"/>
      <c r="E40" s="415"/>
      <c r="F40" s="444"/>
      <c r="G40" s="437"/>
      <c r="H40" s="484"/>
      <c r="I40" s="538"/>
      <c r="J40" s="534"/>
      <c r="K40" s="415"/>
      <c r="L40" s="415"/>
    </row>
    <row r="41" spans="1:12" ht="15" customHeight="1">
      <c r="A41" s="420"/>
      <c r="B41" s="421" t="s">
        <v>501</v>
      </c>
      <c r="C41" s="415"/>
      <c r="D41" s="415"/>
      <c r="E41" s="428"/>
      <c r="F41" s="428"/>
      <c r="G41" s="424"/>
      <c r="H41" s="485">
        <f>SUM(H6:H39)</f>
        <v>8704000</v>
      </c>
      <c r="I41" s="537">
        <f>IF(H41&lt;&gt;0,0,"NIL")</f>
        <v>0</v>
      </c>
      <c r="J41" s="472"/>
      <c r="K41" s="415"/>
      <c r="L41" s="415"/>
    </row>
    <row r="42" spans="1:12" ht="15" customHeight="1">
      <c r="A42" s="420"/>
      <c r="B42" s="445" t="s">
        <v>999</v>
      </c>
      <c r="C42" s="415"/>
      <c r="D42" s="415"/>
      <c r="E42" s="415"/>
      <c r="F42" s="415"/>
      <c r="G42" s="415"/>
      <c r="H42" s="482"/>
      <c r="I42" s="536"/>
      <c r="J42" s="471"/>
      <c r="K42" s="415"/>
      <c r="L42" s="415"/>
    </row>
    <row r="43" spans="1:12" ht="12.75" customHeight="1">
      <c r="A43" s="420"/>
      <c r="B43" s="446"/>
      <c r="C43" s="435" t="s">
        <v>1080</v>
      </c>
      <c r="D43" s="415"/>
      <c r="E43" s="415"/>
      <c r="F43" s="415"/>
      <c r="G43" s="423"/>
      <c r="H43" s="482"/>
      <c r="I43" s="536"/>
      <c r="J43" s="471"/>
      <c r="K43" s="415"/>
      <c r="L43" s="415"/>
    </row>
    <row r="44" spans="1:12" ht="12.75" hidden="1" customHeight="1">
      <c r="A44" s="420"/>
      <c r="B44" s="446"/>
      <c r="C44" s="431" t="s">
        <v>510</v>
      </c>
      <c r="D44" s="415"/>
      <c r="E44" s="415"/>
      <c r="F44" s="411"/>
      <c r="G44" s="423"/>
      <c r="H44" s="482"/>
      <c r="I44" s="536"/>
      <c r="J44" s="471"/>
      <c r="K44" s="415"/>
      <c r="L44" s="415"/>
    </row>
    <row r="45" spans="1:12" ht="12.75" hidden="1" customHeight="1">
      <c r="A45" s="420"/>
      <c r="B45" s="446"/>
      <c r="C45" s="431" t="s">
        <v>1081</v>
      </c>
      <c r="D45" s="415"/>
      <c r="E45" s="415"/>
      <c r="F45" s="411"/>
      <c r="G45" s="423"/>
      <c r="H45" s="482"/>
      <c r="I45" s="536"/>
      <c r="J45" s="471"/>
      <c r="K45" s="415"/>
      <c r="L45" s="415"/>
    </row>
    <row r="46" spans="1:12" ht="12.75" hidden="1" customHeight="1">
      <c r="A46" s="420"/>
      <c r="B46" s="446"/>
      <c r="C46" s="431" t="s">
        <v>985</v>
      </c>
      <c r="D46" s="415"/>
      <c r="E46" s="415"/>
      <c r="F46" s="411"/>
      <c r="G46" s="423"/>
      <c r="H46" s="482"/>
      <c r="I46" s="536"/>
      <c r="J46" s="471"/>
      <c r="K46" s="415"/>
      <c r="L46" s="415"/>
    </row>
    <row r="47" spans="1:12" ht="12.75" hidden="1" customHeight="1">
      <c r="A47" s="420"/>
      <c r="B47" s="446"/>
      <c r="C47" s="431" t="s">
        <v>984</v>
      </c>
      <c r="D47" s="415"/>
      <c r="E47" s="415"/>
      <c r="F47" s="411"/>
      <c r="G47" s="423"/>
      <c r="H47" s="482"/>
      <c r="I47" s="536"/>
      <c r="J47" s="471"/>
      <c r="K47" s="415"/>
      <c r="L47" s="415"/>
    </row>
    <row r="48" spans="1:12" ht="12.75" customHeight="1">
      <c r="A48" s="420"/>
      <c r="B48" s="446"/>
      <c r="C48" s="431"/>
      <c r="D48" s="415"/>
      <c r="E48" s="415"/>
      <c r="F48" s="411"/>
      <c r="G48" s="423"/>
      <c r="H48" s="482"/>
      <c r="I48" s="536"/>
      <c r="J48" s="471"/>
      <c r="K48" s="415"/>
      <c r="L48" s="415"/>
    </row>
    <row r="49" spans="1:12" ht="12.75" customHeight="1">
      <c r="A49" s="420"/>
      <c r="B49" s="446"/>
      <c r="C49" s="431" t="s">
        <v>510</v>
      </c>
      <c r="D49" s="415"/>
      <c r="E49" s="415"/>
      <c r="F49" s="411">
        <v>210000</v>
      </c>
      <c r="G49" s="423"/>
      <c r="H49" s="482"/>
      <c r="I49" s="536"/>
      <c r="J49" s="471"/>
      <c r="K49" s="415"/>
      <c r="L49" s="415"/>
    </row>
    <row r="50" spans="1:12" ht="12.75" hidden="1" customHeight="1">
      <c r="A50" s="420"/>
      <c r="B50" s="446"/>
      <c r="C50" s="431" t="s">
        <v>986</v>
      </c>
      <c r="D50" s="415"/>
      <c r="E50" s="415"/>
      <c r="F50" s="411"/>
      <c r="G50" s="423"/>
      <c r="H50" s="482"/>
      <c r="I50" s="536"/>
      <c r="J50" s="471"/>
      <c r="K50" s="415"/>
      <c r="L50" s="415"/>
    </row>
    <row r="51" spans="1:12" ht="12.75" hidden="1" customHeight="1">
      <c r="A51" s="420"/>
      <c r="B51" s="446"/>
      <c r="C51" s="431" t="s">
        <v>987</v>
      </c>
      <c r="D51" s="415"/>
      <c r="E51" s="415"/>
      <c r="F51" s="411"/>
      <c r="G51" s="423"/>
      <c r="H51" s="482"/>
      <c r="I51" s="536"/>
      <c r="J51" s="471"/>
      <c r="K51" s="415"/>
      <c r="L51" s="415"/>
    </row>
    <row r="52" spans="1:12" ht="12.75" hidden="1" customHeight="1">
      <c r="A52" s="420"/>
      <c r="B52" s="446"/>
      <c r="C52" s="431" t="s">
        <v>988</v>
      </c>
      <c r="D52" s="415"/>
      <c r="E52" s="415"/>
      <c r="F52" s="411"/>
      <c r="G52" s="423"/>
      <c r="H52" s="482"/>
      <c r="I52" s="536"/>
      <c r="J52" s="471"/>
      <c r="K52" s="415"/>
      <c r="L52" s="415"/>
    </row>
    <row r="53" spans="1:12" ht="12.75" hidden="1" customHeight="1">
      <c r="A53" s="420"/>
      <c r="B53" s="446"/>
      <c r="C53" s="431" t="s">
        <v>989</v>
      </c>
      <c r="D53" s="415"/>
      <c r="E53" s="415"/>
      <c r="F53" s="411"/>
      <c r="G53" s="423"/>
      <c r="H53" s="482"/>
      <c r="I53" s="536"/>
      <c r="J53" s="471"/>
      <c r="K53" s="415"/>
      <c r="L53" s="415"/>
    </row>
    <row r="54" spans="1:12" ht="12.75" hidden="1" customHeight="1">
      <c r="A54" s="420"/>
      <c r="B54" s="446"/>
      <c r="C54" s="431"/>
      <c r="D54" s="415"/>
      <c r="E54" s="415"/>
      <c r="F54" s="411"/>
      <c r="G54" s="423"/>
      <c r="H54" s="482"/>
      <c r="I54" s="536"/>
      <c r="J54" s="471"/>
      <c r="K54" s="415"/>
      <c r="L54" s="415"/>
    </row>
    <row r="55" spans="1:12" ht="15" customHeight="1">
      <c r="A55" s="420"/>
      <c r="B55" s="446"/>
      <c r="C55" s="431"/>
      <c r="D55" s="415"/>
      <c r="E55" s="415"/>
      <c r="F55" s="448">
        <f>SUM(F44:F54)</f>
        <v>210000</v>
      </c>
      <c r="G55" s="415">
        <f>IF(F55&gt;150000,150000,F55)</f>
        <v>150000</v>
      </c>
      <c r="H55" s="482"/>
      <c r="I55" s="536"/>
      <c r="J55" s="471"/>
      <c r="K55" s="415"/>
      <c r="L55" s="415"/>
    </row>
    <row r="56" spans="1:12" ht="15" customHeight="1">
      <c r="A56" s="420"/>
      <c r="B56" s="446"/>
      <c r="C56" s="449" t="s">
        <v>1079</v>
      </c>
      <c r="D56" s="415"/>
      <c r="E56" s="415" t="s">
        <v>1149</v>
      </c>
      <c r="F56" s="450"/>
      <c r="G56" s="411">
        <v>10000</v>
      </c>
      <c r="H56" s="482"/>
      <c r="I56" s="536"/>
      <c r="J56" s="471"/>
      <c r="K56" s="415"/>
      <c r="L56" s="415"/>
    </row>
    <row r="57" spans="1:12" ht="15" hidden="1" customHeight="1">
      <c r="A57" s="420"/>
      <c r="B57" s="446"/>
      <c r="C57" s="449" t="s">
        <v>1078</v>
      </c>
      <c r="D57" s="415"/>
      <c r="E57" s="415"/>
      <c r="F57" s="450"/>
      <c r="G57" s="411"/>
      <c r="H57" s="482"/>
      <c r="I57" s="536"/>
      <c r="J57" s="471"/>
      <c r="K57" s="415"/>
      <c r="L57" s="415"/>
    </row>
    <row r="58" spans="1:12" ht="15" customHeight="1">
      <c r="A58" s="420"/>
      <c r="B58" s="446"/>
      <c r="C58" s="449" t="s">
        <v>852</v>
      </c>
      <c r="D58" s="415"/>
      <c r="E58" s="431" t="s">
        <v>1161</v>
      </c>
      <c r="F58" s="450"/>
      <c r="G58" s="411"/>
      <c r="H58" s="482"/>
      <c r="I58" s="536"/>
      <c r="J58" s="471"/>
      <c r="K58" s="415"/>
      <c r="L58" s="415"/>
    </row>
    <row r="59" spans="1:12" ht="15" hidden="1" customHeight="1">
      <c r="A59" s="420"/>
      <c r="B59" s="446"/>
      <c r="C59" s="449" t="s">
        <v>611</v>
      </c>
      <c r="D59" s="415"/>
      <c r="E59" s="415"/>
      <c r="F59" s="415"/>
      <c r="G59" s="411"/>
      <c r="H59" s="482"/>
      <c r="I59" s="536"/>
      <c r="J59" s="471"/>
      <c r="K59" s="415"/>
      <c r="L59" s="415"/>
    </row>
    <row r="60" spans="1:12" ht="15" customHeight="1">
      <c r="A60" s="420"/>
      <c r="B60" s="415"/>
      <c r="C60" s="449" t="s">
        <v>979</v>
      </c>
      <c r="D60" s="415"/>
      <c r="E60" s="428"/>
      <c r="F60" s="428"/>
      <c r="G60" s="447"/>
      <c r="H60" s="482"/>
      <c r="I60" s="536"/>
      <c r="J60" s="471"/>
      <c r="K60" s="415"/>
      <c r="L60" s="415"/>
    </row>
    <row r="61" spans="1:12">
      <c r="A61" s="420"/>
      <c r="B61" s="415"/>
      <c r="C61" s="543" t="s">
        <v>853</v>
      </c>
      <c r="D61" s="415"/>
      <c r="E61" s="428"/>
      <c r="F61" s="428"/>
      <c r="G61" s="411"/>
      <c r="H61" s="482">
        <f>SUM(G55:G61)</f>
        <v>160000</v>
      </c>
      <c r="I61" s="537">
        <f>IF(H61&lt;&gt;0,0,"NIL")</f>
        <v>0</v>
      </c>
      <c r="J61" s="472"/>
      <c r="K61" s="415"/>
      <c r="L61" s="415"/>
    </row>
    <row r="62" spans="1:12" ht="15.75" customHeight="1" thickBot="1">
      <c r="A62" s="420"/>
      <c r="B62" s="451" t="s">
        <v>777</v>
      </c>
      <c r="C62" s="415"/>
      <c r="D62" s="415"/>
      <c r="E62" s="452">
        <f>IF((H41-H61)&lt;0,0,(H41-H61))</f>
        <v>8544000</v>
      </c>
      <c r="F62" s="453" t="s">
        <v>779</v>
      </c>
      <c r="G62" s="440"/>
      <c r="H62" s="486">
        <f>ROUND((E62/10),0)*10</f>
        <v>8544000</v>
      </c>
      <c r="I62" s="539">
        <f>IF(H62&lt;&gt;0,0,"NIL")</f>
        <v>0</v>
      </c>
      <c r="J62" s="475"/>
      <c r="K62" s="415"/>
      <c r="L62" s="415"/>
    </row>
    <row r="63" spans="1:12" ht="15" customHeight="1" thickTop="1">
      <c r="A63" s="420"/>
      <c r="B63" s="450" t="s">
        <v>778</v>
      </c>
      <c r="C63" s="415"/>
      <c r="D63" s="415"/>
      <c r="E63" s="444" t="s">
        <v>521</v>
      </c>
      <c r="F63" s="454" t="s">
        <v>522</v>
      </c>
      <c r="G63" s="444" t="s">
        <v>524</v>
      </c>
      <c r="H63" s="487"/>
      <c r="J63" s="471"/>
      <c r="K63" s="415"/>
      <c r="L63" s="415"/>
    </row>
    <row r="64" spans="1:12" ht="15" customHeight="1">
      <c r="A64" s="420"/>
      <c r="B64" s="530">
        <v>0</v>
      </c>
      <c r="C64" s="408" t="s">
        <v>518</v>
      </c>
      <c r="D64" s="415"/>
      <c r="E64" s="455">
        <f>E62-E68</f>
        <v>8514000</v>
      </c>
      <c r="F64" s="456"/>
      <c r="G64" s="415">
        <f>IF(+Data!D2="Senior",ROUND(IF(E64&gt;1000000,(((E64-1000000)*0.3)+120000),IF(E64&gt;500000,(((E64-500000)*0.2)+20000),IF(E64&gt;300000,((E64-300000)*0.1),0))),0),ROUND(IF(E64&gt;1000000,(((E64-1000000)*0.3)+125000),IF(E64&gt;500000,(((E64-500000)*0.2)+25000),IF(E64&gt;250000,((E64-250000)*0.1),0))),0))</f>
        <v>2379200</v>
      </c>
      <c r="H64" s="487"/>
      <c r="J64" s="471"/>
      <c r="K64" s="415"/>
      <c r="L64" s="415"/>
    </row>
    <row r="65" spans="1:12" ht="15" hidden="1" customHeight="1">
      <c r="A65" s="420"/>
      <c r="B65" s="450"/>
      <c r="C65" s="408" t="s">
        <v>518</v>
      </c>
      <c r="D65" s="415"/>
      <c r="E65" s="410"/>
      <c r="F65" s="457">
        <v>0.15</v>
      </c>
      <c r="G65" s="523"/>
      <c r="H65" s="484"/>
      <c r="J65" s="471"/>
      <c r="K65" s="415"/>
      <c r="L65" s="415"/>
    </row>
    <row r="66" spans="1:12" ht="15" hidden="1" customHeight="1">
      <c r="A66" s="420"/>
      <c r="B66" s="415"/>
      <c r="C66" s="408" t="s">
        <v>518</v>
      </c>
      <c r="D66" s="456"/>
      <c r="E66" s="428"/>
      <c r="F66" s="415"/>
      <c r="G66" s="526">
        <f>G64+G65</f>
        <v>2379200</v>
      </c>
      <c r="H66" s="488"/>
      <c r="I66" s="537"/>
      <c r="J66" s="472"/>
      <c r="K66" s="415"/>
      <c r="L66" s="415"/>
    </row>
    <row r="67" spans="1:12" ht="15" hidden="1" customHeight="1">
      <c r="A67" s="420"/>
      <c r="B67" s="415"/>
      <c r="C67" s="408" t="s">
        <v>518</v>
      </c>
      <c r="D67" s="456"/>
      <c r="E67" s="428"/>
      <c r="F67" s="415"/>
      <c r="G67" s="526"/>
      <c r="H67" s="488"/>
      <c r="I67" s="537"/>
      <c r="J67" s="472"/>
      <c r="K67" s="415"/>
      <c r="L67" s="415"/>
    </row>
    <row r="68" spans="1:12" ht="15" customHeight="1">
      <c r="A68" s="420"/>
      <c r="C68" s="408" t="s">
        <v>519</v>
      </c>
      <c r="D68" s="456"/>
      <c r="E68" s="526">
        <f>+G25</f>
        <v>30000</v>
      </c>
      <c r="F68" s="678">
        <v>0.3</v>
      </c>
      <c r="G68" s="527">
        <f>E68*0.3</f>
        <v>9000</v>
      </c>
      <c r="H68" s="489">
        <f>G66+G68</f>
        <v>2388200</v>
      </c>
      <c r="I68" s="537">
        <f>IF(H68&lt;&gt;0,0,"NIL")</f>
        <v>0</v>
      </c>
      <c r="J68" s="472"/>
      <c r="K68" s="415"/>
      <c r="L68" s="415"/>
    </row>
    <row r="69" spans="1:12" ht="15" customHeight="1">
      <c r="A69" s="420"/>
      <c r="B69" s="408" t="s">
        <v>774</v>
      </c>
      <c r="C69" s="415"/>
      <c r="D69" s="456"/>
      <c r="E69" s="428"/>
      <c r="F69" s="415"/>
      <c r="G69" s="428"/>
      <c r="H69" s="489">
        <f>ROUND((H68)*0.02,0)</f>
        <v>47764</v>
      </c>
      <c r="I69" s="537">
        <f>IF(H69&lt;&gt;0,0,"NIL")</f>
        <v>0</v>
      </c>
      <c r="J69" s="472"/>
      <c r="K69" s="415"/>
      <c r="L69" s="415"/>
    </row>
    <row r="70" spans="1:12" ht="15" customHeight="1">
      <c r="A70" s="420"/>
      <c r="B70" s="408" t="s">
        <v>775</v>
      </c>
      <c r="C70" s="415"/>
      <c r="D70" s="456"/>
      <c r="E70" s="458"/>
      <c r="F70" s="415"/>
      <c r="G70" s="428"/>
      <c r="H70" s="528">
        <f>ROUND((H68)*0.01,0)</f>
        <v>23882</v>
      </c>
      <c r="I70" s="540">
        <f>IF(H70&lt;&gt;0,0,"NIL")</f>
        <v>0</v>
      </c>
      <c r="J70" s="474"/>
      <c r="K70" s="423"/>
      <c r="L70" s="423"/>
    </row>
    <row r="71" spans="1:12" ht="15" customHeight="1">
      <c r="A71" s="420"/>
      <c r="B71" s="450" t="s">
        <v>565</v>
      </c>
      <c r="C71" s="415"/>
      <c r="D71" s="456"/>
      <c r="E71" s="458"/>
      <c r="F71" s="415"/>
      <c r="G71" s="428"/>
      <c r="H71" s="488">
        <f>SUM(H68:H70)</f>
        <v>2459846</v>
      </c>
      <c r="I71" s="537"/>
      <c r="J71" s="472"/>
      <c r="K71" s="423"/>
      <c r="L71" s="423"/>
    </row>
    <row r="72" spans="1:12" ht="15" hidden="1" customHeight="1">
      <c r="A72" s="420"/>
      <c r="B72" s="427"/>
      <c r="C72" s="428"/>
      <c r="D72" s="428"/>
      <c r="E72" s="428"/>
      <c r="F72" s="428"/>
      <c r="G72" s="428"/>
      <c r="H72" s="528"/>
      <c r="I72" s="540"/>
      <c r="J72" s="473"/>
      <c r="K72" s="423"/>
      <c r="L72" s="427"/>
    </row>
    <row r="73" spans="1:12" ht="15" hidden="1" customHeight="1">
      <c r="A73" s="420"/>
      <c r="B73" s="450"/>
      <c r="C73" s="428"/>
      <c r="D73" s="428"/>
      <c r="E73" s="428"/>
      <c r="F73" s="428"/>
      <c r="G73" s="428"/>
      <c r="H73" s="491">
        <f>H71+H72</f>
        <v>2459846</v>
      </c>
      <c r="I73" s="537"/>
      <c r="J73" s="472"/>
      <c r="K73" s="415"/>
      <c r="L73" s="415"/>
    </row>
    <row r="74" spans="1:12" ht="15" hidden="1" customHeight="1">
      <c r="A74" s="420"/>
      <c r="B74" s="652" t="s">
        <v>523</v>
      </c>
      <c r="C74" s="428"/>
      <c r="D74" s="428"/>
      <c r="E74" s="428"/>
      <c r="F74" s="428"/>
      <c r="G74" s="428"/>
      <c r="H74" s="492">
        <v>0</v>
      </c>
      <c r="I74" s="540" t="str">
        <f>IF(H74&lt;&gt;0,0,"NIL")</f>
        <v>NIL</v>
      </c>
      <c r="J74" s="473"/>
      <c r="K74" s="415"/>
      <c r="L74" s="415"/>
    </row>
    <row r="75" spans="1:12" ht="15" hidden="1" customHeight="1">
      <c r="A75" s="420"/>
      <c r="B75" s="450" t="s">
        <v>768</v>
      </c>
      <c r="C75" s="428"/>
      <c r="D75" s="428"/>
      <c r="E75" s="428"/>
      <c r="F75" s="428"/>
      <c r="G75" s="428"/>
      <c r="H75" s="490">
        <f>H73+H74</f>
        <v>2459846</v>
      </c>
      <c r="I75" s="537">
        <f>IF(H75&lt;&gt;0,0,"NIL")</f>
        <v>0</v>
      </c>
      <c r="J75" s="472"/>
      <c r="K75" s="415"/>
      <c r="L75" s="415"/>
    </row>
    <row r="76" spans="1:12" ht="15" customHeight="1">
      <c r="A76" s="420"/>
      <c r="B76" s="421" t="s">
        <v>571</v>
      </c>
      <c r="C76" s="428"/>
      <c r="D76" s="428"/>
      <c r="E76" s="428"/>
      <c r="F76" s="428"/>
      <c r="G76" s="428"/>
      <c r="H76" s="490"/>
      <c r="I76" s="537"/>
      <c r="J76" s="471"/>
      <c r="K76" s="415"/>
      <c r="L76" s="415"/>
    </row>
    <row r="77" spans="1:12" ht="15" hidden="1" customHeight="1">
      <c r="A77" s="420"/>
      <c r="B77" s="415"/>
      <c r="C77" s="1115" t="s">
        <v>993</v>
      </c>
      <c r="D77" s="1115"/>
      <c r="E77" s="1115"/>
      <c r="F77" s="1115"/>
      <c r="G77" s="447"/>
      <c r="H77" s="482"/>
      <c r="I77" s="536"/>
      <c r="J77" s="472"/>
      <c r="K77" s="415"/>
      <c r="L77" s="415"/>
    </row>
    <row r="78" spans="1:12" ht="15" customHeight="1">
      <c r="A78" s="420"/>
      <c r="B78" s="588">
        <f>SUM(G77:G80)</f>
        <v>2405000</v>
      </c>
      <c r="C78" s="1115" t="s">
        <v>1152</v>
      </c>
      <c r="D78" s="1115"/>
      <c r="E78" s="1115"/>
      <c r="F78" s="1115"/>
      <c r="G78" s="410">
        <v>2402000</v>
      </c>
      <c r="H78" s="482"/>
      <c r="I78" s="536"/>
      <c r="J78" s="472"/>
      <c r="K78" s="415"/>
      <c r="L78" s="415"/>
    </row>
    <row r="79" spans="1:12" ht="12.75" hidden="1" customHeight="1">
      <c r="A79" s="420"/>
      <c r="B79" s="459"/>
      <c r="C79" s="1115"/>
      <c r="D79" s="1115"/>
      <c r="E79" s="1115"/>
      <c r="F79" s="1115"/>
      <c r="G79" s="410"/>
      <c r="H79" s="482"/>
      <c r="I79" s="536"/>
      <c r="J79" s="472"/>
      <c r="K79" s="415"/>
      <c r="L79" s="415"/>
    </row>
    <row r="80" spans="1:12" ht="12.75" customHeight="1">
      <c r="A80" s="420"/>
      <c r="B80" s="459"/>
      <c r="C80" s="1115" t="s">
        <v>1163</v>
      </c>
      <c r="D80" s="1115"/>
      <c r="E80" s="1115"/>
      <c r="F80" s="1115"/>
      <c r="G80" s="410">
        <v>3000</v>
      </c>
      <c r="H80" s="482"/>
      <c r="I80" s="536"/>
      <c r="J80" s="472"/>
      <c r="K80" s="415"/>
      <c r="L80" s="408"/>
    </row>
    <row r="81" spans="1:16" ht="12.75" customHeight="1" thickBot="1">
      <c r="A81" s="414"/>
      <c r="B81" s="477"/>
      <c r="C81" s="1117" t="s">
        <v>1226</v>
      </c>
      <c r="D81" s="1117"/>
      <c r="E81" s="1117"/>
      <c r="F81" s="1117"/>
      <c r="G81" s="481">
        <v>54850</v>
      </c>
      <c r="H81" s="493">
        <f>SUM(G77:G81)</f>
        <v>2459850</v>
      </c>
      <c r="I81" s="541">
        <f>IF(H81&lt;&gt;0,0,"NIL")</f>
        <v>0</v>
      </c>
      <c r="J81" s="478"/>
      <c r="K81" s="415"/>
      <c r="L81" s="408"/>
    </row>
    <row r="82" spans="1:16" ht="18" customHeight="1" thickBot="1">
      <c r="A82" s="494"/>
      <c r="B82" s="495" t="str">
        <f>IF(H82=0,"TAX  PAYABLE / REFUND ",IF(H82&lt;0,"REFUND","TAX  PAYABLE"))</f>
        <v xml:space="preserve">TAX  PAYABLE / REFUND </v>
      </c>
      <c r="C82" s="496"/>
      <c r="D82" s="496"/>
      <c r="E82" s="497"/>
      <c r="F82" s="498" t="s">
        <v>776</v>
      </c>
      <c r="G82" s="497"/>
      <c r="H82" s="499">
        <f>ROUND((H75-H81)/10,0)*10</f>
        <v>0</v>
      </c>
      <c r="I82" s="542" t="str">
        <f>IF(H82&lt;&gt;0,0,"NIL")</f>
        <v>NIL</v>
      </c>
      <c r="J82" s="500"/>
      <c r="K82" s="415"/>
      <c r="L82" s="408"/>
    </row>
    <row r="83" spans="1:16">
      <c r="A83" s="567"/>
      <c r="B83" s="570"/>
      <c r="C83" s="570"/>
      <c r="D83" s="570"/>
      <c r="E83" s="570"/>
      <c r="F83" s="570"/>
      <c r="G83" s="570"/>
      <c r="H83" s="570"/>
      <c r="I83" s="568"/>
      <c r="J83" s="569"/>
      <c r="K83" s="415"/>
      <c r="L83" s="408"/>
      <c r="M83" s="554"/>
      <c r="N83" s="554"/>
      <c r="O83" s="554"/>
      <c r="P83" s="554"/>
    </row>
    <row r="84" spans="1:16">
      <c r="A84" s="567"/>
      <c r="B84" s="554"/>
      <c r="C84" s="554"/>
      <c r="D84" s="554"/>
      <c r="E84" s="554"/>
      <c r="F84" s="554"/>
      <c r="G84" s="554"/>
      <c r="H84" s="554"/>
      <c r="I84" s="568"/>
      <c r="J84" s="569"/>
      <c r="K84" s="415"/>
      <c r="L84" s="408"/>
      <c r="M84" s="554"/>
      <c r="N84" s="554"/>
      <c r="O84" s="554"/>
      <c r="P84" s="554"/>
    </row>
    <row r="85" spans="1:16">
      <c r="A85" s="567"/>
      <c r="B85" s="554"/>
      <c r="C85" s="554"/>
      <c r="D85" s="554"/>
      <c r="E85" s="554"/>
      <c r="F85" s="554"/>
      <c r="G85" s="554"/>
      <c r="H85" s="554"/>
      <c r="I85" s="568"/>
      <c r="J85" s="569"/>
      <c r="K85" s="415"/>
      <c r="L85" s="408"/>
      <c r="M85" s="554"/>
      <c r="N85" s="554"/>
      <c r="O85" s="554"/>
      <c r="P85" s="554"/>
    </row>
    <row r="86" spans="1:16">
      <c r="A86" s="567"/>
      <c r="B86" s="554"/>
      <c r="C86" s="554"/>
      <c r="D86" s="554"/>
      <c r="E86" s="554"/>
      <c r="F86" s="554"/>
      <c r="G86" s="554"/>
      <c r="H86" s="554"/>
      <c r="I86" s="568"/>
      <c r="J86" s="569"/>
      <c r="K86" s="415"/>
      <c r="L86" s="408"/>
      <c r="M86" s="554"/>
      <c r="N86" s="554"/>
      <c r="O86" s="554"/>
      <c r="P86" s="554"/>
    </row>
    <row r="87" spans="1:16">
      <c r="A87" s="567"/>
      <c r="B87" s="554"/>
      <c r="C87" s="554"/>
      <c r="D87" s="554"/>
      <c r="E87" s="554"/>
      <c r="F87" s="554"/>
      <c r="G87" s="554"/>
      <c r="H87" s="554"/>
      <c r="I87" s="568"/>
      <c r="J87" s="569"/>
      <c r="K87" s="415"/>
      <c r="L87" s="408"/>
      <c r="M87" s="554"/>
      <c r="N87" s="554"/>
      <c r="O87" s="554"/>
      <c r="P87" s="554"/>
    </row>
    <row r="88" spans="1:16">
      <c r="A88" s="567"/>
      <c r="B88" s="554"/>
      <c r="C88" s="554"/>
      <c r="D88" s="554"/>
      <c r="E88" s="554"/>
      <c r="F88" s="554"/>
      <c r="G88" s="554"/>
      <c r="H88" s="554"/>
      <c r="I88" s="568"/>
      <c r="J88" s="569"/>
      <c r="K88" s="415"/>
      <c r="L88" s="408"/>
      <c r="M88" s="554"/>
      <c r="N88" s="554"/>
      <c r="O88" s="554"/>
      <c r="P88" s="554"/>
    </row>
  </sheetData>
  <mergeCells count="7">
    <mergeCell ref="C81:F81"/>
    <mergeCell ref="A1:J1"/>
    <mergeCell ref="A2:J2"/>
    <mergeCell ref="C77:F77"/>
    <mergeCell ref="C78:F78"/>
    <mergeCell ref="C79:F79"/>
    <mergeCell ref="C80:F80"/>
  </mergeCells>
  <conditionalFormatting sqref="F65">
    <cfRule type="expression" dxfId="6" priority="1" stopIfTrue="1">
      <formula>"""$E$55=0"""</formula>
    </cfRule>
  </conditionalFormatting>
  <dataValidations count="2">
    <dataValidation type="list" errorStyle="information" allowBlank="1" showInputMessage="1" showErrorMessage="1" sqref="D4">
      <formula1>"SALARY RECEIVED, PENSION RECEIVED"</formula1>
    </dataValidation>
    <dataValidation type="list" errorStyle="information" allowBlank="1" showInputMessage="1" showErrorMessage="1" sqref="C46">
      <formula1>"ICICI PRUDENTIAL PREM, BAJAJ ALLIANZ LIFE INSURANCE PREM., LIC  PREMIUM, ULIP PREMIUM"</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86"/>
  <sheetViews>
    <sheetView showZeros="0"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9.42578125" style="416" customWidth="1"/>
    <col min="8" max="8" width="11.140625" style="416" customWidth="1"/>
    <col min="9" max="9" width="4.28515625" style="526" customWidth="1"/>
    <col min="10" max="10" width="1.85546875" style="476" customWidth="1"/>
    <col min="11" max="16384" width="9.140625" style="416"/>
  </cols>
  <sheetData>
    <row r="1" spans="1:10" s="413" customFormat="1" ht="18.75" customHeight="1">
      <c r="A1" s="1108" t="s">
        <v>1083</v>
      </c>
      <c r="B1" s="1109"/>
      <c r="C1" s="1109"/>
      <c r="D1" s="1109"/>
      <c r="E1" s="1109"/>
      <c r="F1" s="1109"/>
      <c r="G1" s="1109"/>
      <c r="H1" s="1109"/>
      <c r="I1" s="1109"/>
      <c r="J1" s="1110"/>
    </row>
    <row r="2" spans="1:10" ht="18" customHeight="1" thickBot="1">
      <c r="A2" s="1111" t="s">
        <v>562</v>
      </c>
      <c r="B2" s="1112"/>
      <c r="C2" s="1112"/>
      <c r="D2" s="1112"/>
      <c r="E2" s="1112"/>
      <c r="F2" s="1112"/>
      <c r="G2" s="1112"/>
      <c r="H2" s="1112"/>
      <c r="I2" s="1112"/>
      <c r="J2" s="1113"/>
    </row>
    <row r="3" spans="1:10" ht="20.100000000000001" customHeight="1">
      <c r="A3" s="417"/>
      <c r="B3" s="418" t="s">
        <v>994</v>
      </c>
      <c r="C3" s="419"/>
      <c r="D3" s="419"/>
      <c r="E3" s="419"/>
      <c r="F3" s="419"/>
      <c r="G3" s="419"/>
      <c r="H3" s="501" t="s">
        <v>1013</v>
      </c>
      <c r="I3" s="535"/>
      <c r="J3" s="470"/>
    </row>
    <row r="4" spans="1:10" ht="15" customHeight="1">
      <c r="A4" s="420"/>
      <c r="B4" s="421"/>
      <c r="C4" s="422" t="s">
        <v>567</v>
      </c>
      <c r="D4" s="422"/>
      <c r="E4" s="415"/>
      <c r="F4" s="423"/>
      <c r="G4" s="411">
        <v>3200000</v>
      </c>
      <c r="H4" s="482"/>
      <c r="I4" s="536"/>
      <c r="J4" s="471"/>
    </row>
    <row r="5" spans="1:10" ht="15" customHeight="1">
      <c r="A5" s="420"/>
      <c r="B5" s="421"/>
      <c r="C5" s="408" t="s">
        <v>1172</v>
      </c>
      <c r="D5" s="422"/>
      <c r="E5" s="415"/>
      <c r="F5" s="423"/>
      <c r="G5" s="411">
        <f>41000-40000</f>
        <v>1000</v>
      </c>
      <c r="H5" s="482"/>
      <c r="I5" s="536"/>
      <c r="J5" s="471"/>
    </row>
    <row r="6" spans="1:10" ht="15" customHeight="1">
      <c r="A6" s="420"/>
      <c r="B6" s="421"/>
      <c r="C6" s="422" t="s">
        <v>1173</v>
      </c>
      <c r="D6" s="422"/>
      <c r="E6" s="415"/>
      <c r="F6" s="423"/>
      <c r="G6" s="411">
        <v>3000</v>
      </c>
      <c r="H6" s="482"/>
      <c r="I6" s="536"/>
      <c r="J6" s="471"/>
    </row>
    <row r="7" spans="1:10" ht="15" customHeight="1">
      <c r="A7" s="420"/>
      <c r="B7" s="421"/>
      <c r="C7" s="422" t="s">
        <v>1174</v>
      </c>
      <c r="E7" s="436" t="s">
        <v>1182</v>
      </c>
      <c r="F7" s="423"/>
      <c r="G7" s="411">
        <f>53000+11000</f>
        <v>64000</v>
      </c>
      <c r="H7" s="482"/>
      <c r="I7" s="536"/>
      <c r="J7" s="471"/>
    </row>
    <row r="8" spans="1:10" ht="15" customHeight="1">
      <c r="A8" s="420"/>
      <c r="B8" s="415"/>
      <c r="C8" s="422" t="s">
        <v>1175</v>
      </c>
      <c r="D8" s="415"/>
      <c r="E8" s="415"/>
      <c r="F8" s="415"/>
      <c r="G8" s="425">
        <v>12000</v>
      </c>
      <c r="H8" s="482">
        <f>SUM(G4:G8)</f>
        <v>3280000</v>
      </c>
      <c r="I8" s="537">
        <f>IF(H8&lt;&gt;0,0,"NIL")</f>
        <v>0</v>
      </c>
      <c r="J8" s="472"/>
    </row>
    <row r="9" spans="1:10" ht="15" hidden="1" customHeight="1">
      <c r="A9" s="420"/>
      <c r="B9" s="426" t="s">
        <v>995</v>
      </c>
      <c r="C9" s="415"/>
      <c r="D9" s="415"/>
      <c r="E9" s="525" t="s">
        <v>1014</v>
      </c>
      <c r="F9" s="423"/>
      <c r="G9" s="415"/>
      <c r="H9" s="482"/>
      <c r="I9" s="537"/>
      <c r="J9" s="472"/>
    </row>
    <row r="10" spans="1:10" ht="15" hidden="1" customHeight="1">
      <c r="A10" s="420"/>
      <c r="B10" s="415"/>
      <c r="C10" s="583" t="s">
        <v>1127</v>
      </c>
      <c r="D10" s="422"/>
      <c r="E10" s="427"/>
      <c r="F10" s="428"/>
      <c r="G10" s="411"/>
      <c r="H10" s="482"/>
      <c r="I10" s="537"/>
      <c r="J10" s="472"/>
    </row>
    <row r="11" spans="1:10" ht="15" hidden="1" customHeight="1">
      <c r="A11" s="420"/>
      <c r="B11" s="415"/>
      <c r="C11" s="408" t="s">
        <v>769</v>
      </c>
      <c r="D11" s="415"/>
      <c r="E11" s="415"/>
      <c r="F11" s="415"/>
      <c r="G11" s="479"/>
      <c r="H11" s="482"/>
      <c r="I11" s="537"/>
      <c r="J11" s="472"/>
    </row>
    <row r="12" spans="1:10" ht="15" hidden="1" customHeight="1">
      <c r="A12" s="420"/>
      <c r="B12" s="415"/>
      <c r="C12" s="408"/>
      <c r="D12" s="415"/>
      <c r="E12" s="415"/>
      <c r="F12" s="415"/>
      <c r="G12" s="423">
        <f>IF((G10-G11)&lt;0,0,(G10-G11))</f>
        <v>0</v>
      </c>
      <c r="H12" s="482"/>
      <c r="I12" s="537"/>
      <c r="J12" s="472"/>
    </row>
    <row r="13" spans="1:10" ht="15" hidden="1" customHeight="1">
      <c r="A13" s="420"/>
      <c r="B13" s="415"/>
      <c r="C13" s="590" t="s">
        <v>514</v>
      </c>
      <c r="D13" s="415"/>
      <c r="E13" s="415" t="s">
        <v>1093</v>
      </c>
      <c r="F13" s="415">
        <f>G12*0.3</f>
        <v>0</v>
      </c>
      <c r="G13" s="423"/>
      <c r="H13" s="482"/>
      <c r="I13" s="537"/>
      <c r="J13" s="472"/>
    </row>
    <row r="14" spans="1:10" ht="15" hidden="1" customHeight="1">
      <c r="A14" s="420"/>
      <c r="B14" s="415"/>
      <c r="D14" s="415"/>
      <c r="E14" s="409" t="s">
        <v>1094</v>
      </c>
      <c r="F14" s="591"/>
      <c r="G14" s="592">
        <f>F13+F14</f>
        <v>0</v>
      </c>
      <c r="H14" s="482">
        <f>G12-G14</f>
        <v>0</v>
      </c>
      <c r="I14" s="537" t="str">
        <f>IF(H14&lt;&gt;0,0,"NIL")</f>
        <v>NIL</v>
      </c>
      <c r="J14" s="472"/>
    </row>
    <row r="15" spans="1:10" ht="17.25" hidden="1" customHeight="1">
      <c r="A15" s="420"/>
      <c r="B15" s="421" t="s">
        <v>996</v>
      </c>
      <c r="C15" s="408"/>
      <c r="D15" s="415"/>
      <c r="E15" s="429"/>
      <c r="F15" s="423"/>
      <c r="G15" s="415"/>
      <c r="H15" s="482"/>
      <c r="I15" s="537"/>
      <c r="J15" s="472"/>
    </row>
    <row r="16" spans="1:10" ht="15" hidden="1" customHeight="1">
      <c r="A16" s="420"/>
      <c r="B16" s="415"/>
      <c r="C16" s="408" t="s">
        <v>991</v>
      </c>
      <c r="D16" s="415"/>
      <c r="E16" s="429"/>
      <c r="F16" s="423"/>
      <c r="G16" s="411"/>
      <c r="H16" s="482"/>
      <c r="I16" s="537"/>
      <c r="J16" s="472"/>
    </row>
    <row r="17" spans="1:10" ht="15" hidden="1" customHeight="1">
      <c r="A17" s="420"/>
      <c r="B17" s="415"/>
      <c r="C17" s="408" t="s">
        <v>992</v>
      </c>
      <c r="D17" s="415"/>
      <c r="E17" s="429"/>
      <c r="F17" s="423"/>
      <c r="G17" s="479"/>
      <c r="H17" s="483">
        <f>G16-G17</f>
        <v>0</v>
      </c>
      <c r="I17" s="537" t="str">
        <f>IF(H17&lt;&gt;0,0,"NIL")</f>
        <v>NIL</v>
      </c>
      <c r="J17" s="472"/>
    </row>
    <row r="18" spans="1:10" ht="15" customHeight="1">
      <c r="A18" s="420"/>
      <c r="B18" s="421" t="s">
        <v>997</v>
      </c>
      <c r="C18" s="415"/>
      <c r="D18" s="415"/>
      <c r="E18" s="415"/>
      <c r="F18" s="415"/>
      <c r="G18" s="415"/>
      <c r="H18" s="482"/>
      <c r="I18" s="537"/>
      <c r="J18" s="472"/>
    </row>
    <row r="19" spans="1:10">
      <c r="A19" s="420"/>
      <c r="B19" s="415"/>
      <c r="C19" s="408" t="s">
        <v>498</v>
      </c>
      <c r="D19" s="415"/>
      <c r="E19" s="415"/>
      <c r="F19" s="415"/>
      <c r="G19" s="411"/>
      <c r="H19" s="482"/>
      <c r="I19" s="537"/>
      <c r="J19" s="472"/>
    </row>
    <row r="20" spans="1:10">
      <c r="A20" s="420"/>
      <c r="B20" s="415"/>
      <c r="C20" s="408" t="s">
        <v>77</v>
      </c>
      <c r="D20" s="415"/>
      <c r="E20" s="415"/>
      <c r="F20" s="415"/>
      <c r="G20" s="479"/>
      <c r="H20" s="482">
        <f>G19+G20</f>
        <v>0</v>
      </c>
      <c r="I20" s="537" t="str">
        <f>IF(H20&lt;&gt;0,0,"NIL")</f>
        <v>NIL</v>
      </c>
      <c r="J20" s="472"/>
    </row>
    <row r="21" spans="1:10" ht="20.100000000000001" customHeight="1">
      <c r="A21" s="420"/>
      <c r="B21" s="421" t="s">
        <v>998</v>
      </c>
      <c r="C21" s="415"/>
      <c r="D21" s="415"/>
      <c r="E21" s="415"/>
      <c r="F21" s="415"/>
      <c r="G21" s="415"/>
      <c r="H21" s="482"/>
      <c r="I21" s="536"/>
      <c r="J21" s="471"/>
    </row>
    <row r="22" spans="1:10" ht="13.5">
      <c r="A22" s="420"/>
      <c r="B22" s="636"/>
      <c r="C22" s="431"/>
      <c r="D22" s="431"/>
      <c r="E22" s="431"/>
      <c r="F22" s="415"/>
      <c r="G22" s="411"/>
      <c r="H22" s="482"/>
      <c r="I22" s="536"/>
      <c r="J22" s="471"/>
    </row>
    <row r="23" spans="1:10" ht="13.5">
      <c r="A23" s="420"/>
      <c r="B23" s="636"/>
      <c r="C23" s="431" t="s">
        <v>1176</v>
      </c>
      <c r="D23" s="431"/>
      <c r="E23" s="431"/>
      <c r="F23" s="408"/>
      <c r="G23" s="411">
        <v>300000</v>
      </c>
      <c r="H23" s="482"/>
      <c r="I23" s="536"/>
      <c r="J23" s="471"/>
    </row>
    <row r="24" spans="1:10" ht="13.5">
      <c r="A24" s="420"/>
      <c r="B24" s="589"/>
      <c r="C24" s="431" t="s">
        <v>1125</v>
      </c>
      <c r="D24" s="431"/>
      <c r="E24" s="431">
        <v>31000</v>
      </c>
      <c r="F24" s="431"/>
      <c r="G24" s="462"/>
      <c r="H24" s="482"/>
      <c r="I24" s="536"/>
      <c r="J24" s="471"/>
    </row>
    <row r="25" spans="1:10" ht="15" customHeight="1">
      <c r="A25" s="420"/>
      <c r="B25" s="589"/>
      <c r="C25" s="431"/>
      <c r="D25" s="434"/>
      <c r="E25" s="433"/>
      <c r="F25" s="433"/>
      <c r="G25" s="480">
        <f>SUM(G22:G24)</f>
        <v>300000</v>
      </c>
      <c r="H25" s="482"/>
      <c r="I25" s="536"/>
      <c r="J25" s="471"/>
    </row>
    <row r="26" spans="1:10" ht="15" hidden="1" customHeight="1">
      <c r="A26" s="420"/>
      <c r="B26" s="589"/>
      <c r="C26" s="435" t="s">
        <v>512</v>
      </c>
      <c r="D26" s="436"/>
      <c r="E26" s="436"/>
      <c r="F26" s="436"/>
      <c r="G26" s="437"/>
      <c r="H26" s="482"/>
      <c r="I26" s="536"/>
      <c r="J26" s="471"/>
    </row>
    <row r="27" spans="1:10" ht="15" hidden="1" customHeight="1">
      <c r="A27" s="420"/>
      <c r="B27" s="589"/>
      <c r="G27" s="410"/>
      <c r="H27" s="482"/>
      <c r="I27" s="536"/>
      <c r="J27" s="471"/>
    </row>
    <row r="28" spans="1:10" ht="15" hidden="1" customHeight="1">
      <c r="A28" s="420"/>
      <c r="B28" s="589"/>
      <c r="G28" s="410"/>
      <c r="H28" s="482"/>
      <c r="I28" s="536"/>
      <c r="J28" s="471"/>
    </row>
    <row r="29" spans="1:10" ht="15" hidden="1" customHeight="1">
      <c r="A29" s="420"/>
      <c r="B29" s="589"/>
      <c r="C29" s="436" t="s">
        <v>846</v>
      </c>
      <c r="D29" s="436"/>
      <c r="E29" s="415"/>
      <c r="F29" s="438"/>
      <c r="G29" s="437"/>
      <c r="H29" s="482"/>
      <c r="I29" s="536"/>
      <c r="J29" s="471"/>
    </row>
    <row r="30" spans="1:10" ht="15" hidden="1" customHeight="1">
      <c r="A30" s="420"/>
      <c r="B30" s="589"/>
      <c r="C30" s="432" t="s">
        <v>847</v>
      </c>
      <c r="D30" s="415"/>
      <c r="E30" s="415"/>
      <c r="F30" s="461">
        <f>ROUND(IF(F29/3&gt;15000,15000,F29/3),0)</f>
        <v>0</v>
      </c>
      <c r="G30" s="447">
        <f>F29-F30</f>
        <v>0</v>
      </c>
      <c r="H30" s="482"/>
      <c r="I30" s="536"/>
      <c r="J30" s="471"/>
    </row>
    <row r="31" spans="1:10" ht="15" hidden="1" customHeight="1">
      <c r="A31" s="420"/>
      <c r="B31" s="589"/>
      <c r="C31" s="415"/>
      <c r="D31" s="415"/>
      <c r="E31" s="415"/>
      <c r="F31" s="415"/>
      <c r="G31" s="480">
        <f>SUM(G27:G30)</f>
        <v>0</v>
      </c>
      <c r="H31" s="484"/>
      <c r="J31" s="472"/>
    </row>
    <row r="32" spans="1:10" ht="15" customHeight="1">
      <c r="A32" s="420"/>
      <c r="B32" s="589"/>
      <c r="C32" s="415"/>
      <c r="D32" s="415"/>
      <c r="E32" s="415"/>
      <c r="F32" s="415"/>
      <c r="G32" s="437"/>
      <c r="H32" s="482">
        <f>G25+G31</f>
        <v>300000</v>
      </c>
      <c r="I32" s="537">
        <f>IF(H32&lt;&gt;0,0,"NIL")</f>
        <v>0</v>
      </c>
      <c r="J32" s="472"/>
    </row>
    <row r="33" spans="1:10" ht="15" hidden="1" customHeight="1">
      <c r="A33" s="420"/>
      <c r="B33" s="589"/>
      <c r="C33" s="439" t="s">
        <v>564</v>
      </c>
      <c r="D33" s="436"/>
      <c r="E33" s="436"/>
      <c r="F33" s="440"/>
      <c r="G33" s="437"/>
      <c r="H33" s="484"/>
      <c r="J33" s="472"/>
    </row>
    <row r="34" spans="1:10" ht="12.75" hidden="1" customHeight="1">
      <c r="A34" s="420"/>
      <c r="B34" s="421"/>
      <c r="C34" s="409" t="s">
        <v>851</v>
      </c>
      <c r="D34" s="436"/>
      <c r="E34" s="441"/>
      <c r="F34" s="442"/>
      <c r="G34" s="430"/>
      <c r="H34" s="482"/>
      <c r="I34" s="536"/>
      <c r="J34" s="471"/>
    </row>
    <row r="35" spans="1:10" ht="12.75" hidden="1" customHeight="1">
      <c r="A35" s="420"/>
      <c r="B35" s="421"/>
      <c r="C35" s="409" t="s">
        <v>981</v>
      </c>
      <c r="D35" s="436"/>
      <c r="E35" s="441"/>
      <c r="F35" s="442"/>
      <c r="G35" s="430"/>
      <c r="H35" s="482"/>
      <c r="I35" s="536"/>
      <c r="J35" s="471"/>
    </row>
    <row r="36" spans="1:10" ht="12.75" hidden="1" customHeight="1">
      <c r="A36" s="420"/>
      <c r="B36" s="421"/>
      <c r="C36" s="409" t="s">
        <v>982</v>
      </c>
      <c r="D36" s="436"/>
      <c r="E36" s="441"/>
      <c r="F36" s="442"/>
      <c r="G36" s="430"/>
      <c r="H36" s="482"/>
      <c r="I36" s="536"/>
      <c r="J36" s="471"/>
    </row>
    <row r="37" spans="1:10" ht="12.75" hidden="1" customHeight="1">
      <c r="A37" s="420"/>
      <c r="B37" s="421"/>
      <c r="C37" s="409" t="s">
        <v>983</v>
      </c>
      <c r="D37" s="436"/>
      <c r="E37" s="415"/>
      <c r="F37" s="442"/>
      <c r="G37" s="430"/>
      <c r="H37" s="482"/>
      <c r="I37" s="536"/>
      <c r="J37" s="471"/>
    </row>
    <row r="38" spans="1:10" ht="12.75" hidden="1" customHeight="1" thickBot="1">
      <c r="A38" s="420"/>
      <c r="B38" s="428"/>
      <c r="C38" s="435"/>
      <c r="D38" s="436"/>
      <c r="E38" s="415"/>
      <c r="F38" s="443">
        <f>SUM(F34:F37)</f>
        <v>0</v>
      </c>
      <c r="G38" s="437"/>
      <c r="H38" s="484"/>
      <c r="J38" s="471"/>
    </row>
    <row r="39" spans="1:10" ht="12.75" customHeight="1">
      <c r="A39" s="420"/>
      <c r="B39" s="428"/>
      <c r="C39" s="435"/>
      <c r="D39" s="436"/>
      <c r="E39" s="415"/>
      <c r="F39" s="444"/>
      <c r="G39" s="437"/>
      <c r="H39" s="484"/>
      <c r="I39" s="538"/>
      <c r="J39" s="534"/>
    </row>
    <row r="40" spans="1:10" ht="15" customHeight="1">
      <c r="A40" s="420"/>
      <c r="B40" s="421" t="s">
        <v>501</v>
      </c>
      <c r="C40" s="415"/>
      <c r="D40" s="415"/>
      <c r="E40" s="428"/>
      <c r="F40" s="428"/>
      <c r="G40" s="424"/>
      <c r="H40" s="485">
        <f>SUM(H8:H38)</f>
        <v>3580000</v>
      </c>
      <c r="I40" s="537">
        <f>IF(H40&lt;&gt;0,0,"NIL")</f>
        <v>0</v>
      </c>
      <c r="J40" s="472"/>
    </row>
    <row r="41" spans="1:10" ht="15" customHeight="1">
      <c r="A41" s="420"/>
      <c r="B41" s="445" t="s">
        <v>999</v>
      </c>
      <c r="C41" s="415"/>
      <c r="D41" s="415"/>
      <c r="E41" s="415"/>
      <c r="F41" s="415"/>
      <c r="G41" s="415"/>
      <c r="H41" s="482"/>
      <c r="I41" s="536"/>
      <c r="J41" s="471"/>
    </row>
    <row r="42" spans="1:10" ht="12.75" customHeight="1">
      <c r="A42" s="420"/>
      <c r="B42" s="446"/>
      <c r="C42" s="435" t="s">
        <v>1080</v>
      </c>
      <c r="D42" s="415"/>
      <c r="E42" s="415"/>
      <c r="F42" s="415"/>
      <c r="G42" s="423"/>
      <c r="H42" s="482"/>
      <c r="I42" s="536"/>
      <c r="J42" s="471"/>
    </row>
    <row r="43" spans="1:10" ht="12.75" hidden="1" customHeight="1">
      <c r="A43" s="420"/>
      <c r="B43" s="446"/>
      <c r="C43" s="431" t="s">
        <v>510</v>
      </c>
      <c r="D43" s="415"/>
      <c r="E43" s="415"/>
      <c r="F43" s="411"/>
      <c r="G43" s="423"/>
      <c r="H43" s="482"/>
      <c r="I43" s="536"/>
      <c r="J43" s="471"/>
    </row>
    <row r="44" spans="1:10" ht="12.75" hidden="1" customHeight="1">
      <c r="A44" s="420"/>
      <c r="B44" s="446"/>
      <c r="C44" s="431" t="s">
        <v>1081</v>
      </c>
      <c r="D44" s="415"/>
      <c r="E44" s="415"/>
      <c r="F44" s="411"/>
      <c r="G44" s="423"/>
      <c r="H44" s="482"/>
      <c r="I44" s="536"/>
      <c r="J44" s="471"/>
    </row>
    <row r="45" spans="1:10" ht="12.75" hidden="1" customHeight="1">
      <c r="A45" s="420"/>
      <c r="B45" s="446"/>
      <c r="C45" s="431" t="s">
        <v>985</v>
      </c>
      <c r="D45" s="415"/>
      <c r="E45" s="415"/>
      <c r="F45" s="411"/>
      <c r="G45" s="423"/>
      <c r="H45" s="482"/>
      <c r="I45" s="536"/>
      <c r="J45" s="471"/>
    </row>
    <row r="46" spans="1:10" ht="12.75" hidden="1" customHeight="1">
      <c r="A46" s="420"/>
      <c r="B46" s="446"/>
      <c r="C46" s="431" t="s">
        <v>984</v>
      </c>
      <c r="D46" s="415"/>
      <c r="E46" s="415"/>
      <c r="F46" s="411"/>
      <c r="G46" s="423"/>
      <c r="H46" s="482"/>
      <c r="I46" s="536"/>
      <c r="J46" s="471"/>
    </row>
    <row r="47" spans="1:10" ht="12.75" customHeight="1">
      <c r="A47" s="420"/>
      <c r="B47" s="446"/>
      <c r="C47" s="431" t="s">
        <v>1177</v>
      </c>
      <c r="D47" s="415"/>
      <c r="E47" s="415"/>
      <c r="F47" s="411">
        <v>60000</v>
      </c>
      <c r="G47" s="423"/>
      <c r="H47" s="482"/>
      <c r="I47" s="536"/>
      <c r="J47" s="471"/>
    </row>
    <row r="48" spans="1:10" ht="12.75" customHeight="1">
      <c r="A48" s="420"/>
      <c r="B48" s="446"/>
      <c r="C48" s="431" t="s">
        <v>1149</v>
      </c>
      <c r="D48" s="415"/>
      <c r="E48" s="415"/>
      <c r="F48" s="411">
        <v>30000</v>
      </c>
      <c r="G48" s="423"/>
      <c r="H48" s="482"/>
      <c r="I48" s="536"/>
      <c r="J48" s="471"/>
    </row>
    <row r="49" spans="1:10" ht="12.75" customHeight="1">
      <c r="A49" s="420"/>
      <c r="B49" s="446"/>
      <c r="C49" s="431" t="s">
        <v>509</v>
      </c>
      <c r="D49" s="415"/>
      <c r="E49" s="415"/>
      <c r="F49" s="411">
        <v>80000</v>
      </c>
      <c r="G49" s="423"/>
      <c r="H49" s="482"/>
      <c r="I49" s="536"/>
      <c r="J49" s="471"/>
    </row>
    <row r="50" spans="1:10" ht="12.75" hidden="1" customHeight="1">
      <c r="A50" s="420"/>
      <c r="B50" s="446"/>
      <c r="C50" s="431" t="s">
        <v>986</v>
      </c>
      <c r="D50" s="415"/>
      <c r="E50" s="415"/>
      <c r="F50" s="411"/>
      <c r="G50" s="423"/>
      <c r="H50" s="482"/>
      <c r="I50" s="536"/>
      <c r="J50" s="471"/>
    </row>
    <row r="51" spans="1:10" ht="12.75" hidden="1" customHeight="1">
      <c r="A51" s="420"/>
      <c r="B51" s="446"/>
      <c r="C51" s="431" t="s">
        <v>987</v>
      </c>
      <c r="D51" s="415"/>
      <c r="E51" s="415"/>
      <c r="F51" s="411"/>
      <c r="G51" s="423"/>
      <c r="H51" s="482"/>
      <c r="I51" s="536"/>
      <c r="J51" s="471"/>
    </row>
    <row r="52" spans="1:10" ht="12.75" hidden="1" customHeight="1">
      <c r="A52" s="420"/>
      <c r="B52" s="446"/>
      <c r="C52" s="431" t="s">
        <v>988</v>
      </c>
      <c r="D52" s="415"/>
      <c r="E52" s="415"/>
      <c r="F52" s="411"/>
      <c r="G52" s="423"/>
      <c r="H52" s="482"/>
      <c r="I52" s="536"/>
      <c r="J52" s="471"/>
    </row>
    <row r="53" spans="1:10" ht="12.75" hidden="1" customHeight="1">
      <c r="A53" s="420"/>
      <c r="B53" s="446"/>
      <c r="C53" s="431" t="s">
        <v>989</v>
      </c>
      <c r="D53" s="415"/>
      <c r="E53" s="415"/>
      <c r="F53" s="411"/>
      <c r="G53" s="423"/>
      <c r="H53" s="482"/>
      <c r="I53" s="536"/>
      <c r="J53" s="471"/>
    </row>
    <row r="54" spans="1:10" ht="12.75" customHeight="1">
      <c r="A54" s="420"/>
      <c r="B54" s="446"/>
      <c r="C54" s="431" t="s">
        <v>1178</v>
      </c>
      <c r="D54" s="415"/>
      <c r="E54" s="415"/>
      <c r="F54" s="411">
        <v>18000</v>
      </c>
      <c r="G54" s="423"/>
      <c r="H54" s="482"/>
      <c r="I54" s="536"/>
      <c r="J54" s="471"/>
    </row>
    <row r="55" spans="1:10" ht="15" customHeight="1">
      <c r="A55" s="420"/>
      <c r="B55" s="446"/>
      <c r="C55" s="431"/>
      <c r="D55" s="415"/>
      <c r="E55" s="415"/>
      <c r="F55" s="448">
        <f>SUM(F43:F54)</f>
        <v>188000</v>
      </c>
      <c r="G55" s="415">
        <f>IF(F55&gt;150000,150000,F55)</f>
        <v>150000</v>
      </c>
      <c r="H55" s="482"/>
      <c r="I55" s="536"/>
      <c r="J55" s="471"/>
    </row>
    <row r="56" spans="1:10" ht="15" customHeight="1">
      <c r="A56" s="420"/>
      <c r="B56" s="446"/>
      <c r="C56" s="449" t="s">
        <v>1079</v>
      </c>
      <c r="D56" s="415"/>
      <c r="E56" s="415"/>
      <c r="F56" s="450"/>
      <c r="G56" s="411">
        <v>50000</v>
      </c>
      <c r="H56" s="482"/>
      <c r="I56" s="536"/>
      <c r="J56" s="471"/>
    </row>
    <row r="57" spans="1:10" ht="15" hidden="1" customHeight="1">
      <c r="A57" s="420"/>
      <c r="B57" s="446"/>
      <c r="C57" s="449" t="s">
        <v>1078</v>
      </c>
      <c r="D57" s="415"/>
      <c r="E57" s="415"/>
      <c r="F57" s="450"/>
      <c r="G57" s="411"/>
      <c r="H57" s="482"/>
      <c r="I57" s="536"/>
      <c r="J57" s="471"/>
    </row>
    <row r="58" spans="1:10" ht="15" hidden="1" customHeight="1">
      <c r="A58" s="420"/>
      <c r="B58" s="446"/>
      <c r="C58" s="449" t="s">
        <v>852</v>
      </c>
      <c r="D58" s="415"/>
      <c r="E58" s="415"/>
      <c r="F58" s="450"/>
      <c r="G58" s="411"/>
      <c r="H58" s="482"/>
      <c r="I58" s="536"/>
      <c r="J58" s="471"/>
    </row>
    <row r="59" spans="1:10" ht="15" hidden="1" customHeight="1">
      <c r="A59" s="420"/>
      <c r="B59" s="446"/>
      <c r="C59" s="449" t="s">
        <v>611</v>
      </c>
      <c r="D59" s="415"/>
      <c r="E59" s="415"/>
      <c r="F59" s="415"/>
      <c r="G59" s="411"/>
      <c r="H59" s="482"/>
      <c r="I59" s="536"/>
      <c r="J59" s="471"/>
    </row>
    <row r="60" spans="1:10" ht="15" customHeight="1">
      <c r="A60" s="420"/>
      <c r="B60" s="415"/>
      <c r="C60" s="449" t="s">
        <v>979</v>
      </c>
      <c r="D60" s="415"/>
      <c r="E60" s="428"/>
      <c r="F60" s="428"/>
      <c r="G60" s="447">
        <f>IF(G22&gt;10000, 10000, G22)</f>
        <v>0</v>
      </c>
      <c r="H60" s="482"/>
      <c r="I60" s="536"/>
      <c r="J60" s="471"/>
    </row>
    <row r="61" spans="1:10">
      <c r="A61" s="420"/>
      <c r="B61" s="415"/>
      <c r="C61" s="543" t="s">
        <v>853</v>
      </c>
      <c r="D61" s="415"/>
      <c r="E61" s="428"/>
      <c r="F61" s="428"/>
      <c r="G61" s="411"/>
      <c r="H61" s="482">
        <f>SUM(G55:G61)</f>
        <v>200000</v>
      </c>
      <c r="I61" s="537">
        <f>IF(H61&lt;&gt;0,0,"NIL")</f>
        <v>0</v>
      </c>
      <c r="J61" s="472"/>
    </row>
    <row r="62" spans="1:10" ht="15.75" customHeight="1" thickBot="1">
      <c r="A62" s="420"/>
      <c r="B62" s="451" t="s">
        <v>777</v>
      </c>
      <c r="C62" s="415"/>
      <c r="D62" s="415"/>
      <c r="E62" s="452">
        <f>IF((H40-H61)&lt;0,0,(H40-H61))</f>
        <v>3380000</v>
      </c>
      <c r="F62" s="453" t="s">
        <v>779</v>
      </c>
      <c r="G62" s="440"/>
      <c r="H62" s="486">
        <f>ROUND((E62/10),0)*10</f>
        <v>3380000</v>
      </c>
      <c r="I62" s="539">
        <f>IF(H62&lt;&gt;0,0,"NIL")</f>
        <v>0</v>
      </c>
      <c r="J62" s="475"/>
    </row>
    <row r="63" spans="1:10" ht="15" customHeight="1" thickTop="1">
      <c r="A63" s="420"/>
      <c r="B63" s="450" t="s">
        <v>778</v>
      </c>
      <c r="C63" s="415"/>
      <c r="D63" s="415"/>
      <c r="E63" s="444" t="s">
        <v>521</v>
      </c>
      <c r="F63" s="454" t="s">
        <v>522</v>
      </c>
      <c r="G63" s="444" t="s">
        <v>524</v>
      </c>
      <c r="H63" s="487"/>
      <c r="J63" s="471"/>
    </row>
    <row r="64" spans="1:10" ht="15" customHeight="1">
      <c r="A64" s="420"/>
      <c r="B64" s="530" t="s">
        <v>1170</v>
      </c>
      <c r="C64" s="408" t="s">
        <v>518</v>
      </c>
      <c r="D64" s="415"/>
      <c r="E64" s="455">
        <f>E62-E65</f>
        <v>3380000</v>
      </c>
      <c r="F64" s="456"/>
      <c r="G64" s="415">
        <f>IF(+Data!D2="Senior",ROUND(IF(E64&gt;1000000,(((E64-1000000)*0.3)+120000),IF(E64&gt;500000,(((E64-500000)*0.2)+20000),IF(E64&gt;300000,((E64-300000)*0.1),0))),0),ROUND(IF(E64&gt;1000000,(((E64-1000000)*0.3)+125000),IF(E64&gt;500000,(((E64-500000)*0.2)+25000),IF(E64&gt;250000,((E64-250000)*0.1),0))),0))-5000</f>
        <v>834000</v>
      </c>
      <c r="H64" s="487"/>
      <c r="J64" s="471"/>
    </row>
    <row r="65" spans="1:10" ht="15" hidden="1" customHeight="1">
      <c r="A65" s="420"/>
      <c r="B65" s="450"/>
      <c r="C65" s="408" t="s">
        <v>519</v>
      </c>
      <c r="D65" s="415"/>
      <c r="E65" s="410"/>
      <c r="F65" s="457">
        <v>0.15</v>
      </c>
      <c r="G65" s="523"/>
      <c r="H65" s="484"/>
      <c r="J65" s="471"/>
    </row>
    <row r="66" spans="1:10" ht="15" hidden="1" customHeight="1">
      <c r="A66" s="420"/>
      <c r="B66" s="415"/>
      <c r="C66" s="415"/>
      <c r="D66" s="456"/>
      <c r="E66" s="428"/>
      <c r="F66" s="415"/>
      <c r="G66" s="526">
        <f>G64+G65</f>
        <v>834000</v>
      </c>
      <c r="H66" s="488"/>
      <c r="I66" s="537"/>
      <c r="J66" s="472"/>
    </row>
    <row r="67" spans="1:10" ht="15" customHeight="1">
      <c r="A67" s="420"/>
      <c r="C67" s="524" t="s">
        <v>1015</v>
      </c>
      <c r="D67" s="456"/>
      <c r="E67" s="428"/>
      <c r="F67" s="415"/>
      <c r="G67" s="527">
        <f>IF(H62&gt;500000,0,IF(G66&gt;2000,2000,G66))</f>
        <v>0</v>
      </c>
      <c r="H67" s="489">
        <f>G66-G67</f>
        <v>834000</v>
      </c>
      <c r="I67" s="537">
        <f>IF(H67&lt;&gt;0,0,"NIL")</f>
        <v>0</v>
      </c>
      <c r="J67" s="472"/>
    </row>
    <row r="68" spans="1:10" ht="15" customHeight="1">
      <c r="A68" s="420"/>
      <c r="B68" s="408" t="s">
        <v>774</v>
      </c>
      <c r="C68" s="415"/>
      <c r="D68" s="456"/>
      <c r="E68" s="428"/>
      <c r="F68" s="415"/>
      <c r="G68" s="428"/>
      <c r="H68" s="489">
        <f>ROUND((H67)*0.02,0)</f>
        <v>16680</v>
      </c>
      <c r="I68" s="537">
        <f>IF(H68&lt;&gt;0,0,"NIL")</f>
        <v>0</v>
      </c>
      <c r="J68" s="472"/>
    </row>
    <row r="69" spans="1:10" ht="15" customHeight="1">
      <c r="A69" s="420"/>
      <c r="B69" s="408" t="s">
        <v>775</v>
      </c>
      <c r="C69" s="415"/>
      <c r="D69" s="456"/>
      <c r="E69" s="458"/>
      <c r="F69" s="415"/>
      <c r="G69" s="428"/>
      <c r="H69" s="528">
        <f>ROUND((H67)*0.01,0)</f>
        <v>8340</v>
      </c>
      <c r="I69" s="540">
        <f>IF(H69&lt;&gt;0,0,"NIL")</f>
        <v>0</v>
      </c>
      <c r="J69" s="474"/>
    </row>
    <row r="70" spans="1:10" ht="15" customHeight="1">
      <c r="A70" s="420"/>
      <c r="B70" s="450" t="s">
        <v>565</v>
      </c>
      <c r="C70" s="415"/>
      <c r="D70" s="456"/>
      <c r="E70" s="458"/>
      <c r="F70" s="415"/>
      <c r="G70" s="428"/>
      <c r="H70" s="488">
        <f>SUM(H67:H69)</f>
        <v>859020</v>
      </c>
      <c r="I70" s="537"/>
      <c r="J70" s="472"/>
    </row>
    <row r="71" spans="1:10" ht="15" hidden="1" customHeight="1">
      <c r="A71" s="420"/>
      <c r="B71" s="427"/>
      <c r="C71" s="428"/>
      <c r="D71" s="428"/>
      <c r="E71" s="428"/>
      <c r="F71" s="428"/>
      <c r="G71" s="428"/>
      <c r="H71" s="528"/>
      <c r="I71" s="540"/>
      <c r="J71" s="473"/>
    </row>
    <row r="72" spans="1:10" ht="15" hidden="1" customHeight="1">
      <c r="A72" s="420"/>
      <c r="B72" s="450"/>
      <c r="C72" s="428"/>
      <c r="D72" s="428"/>
      <c r="E72" s="428"/>
      <c r="F72" s="428"/>
      <c r="G72" s="428"/>
      <c r="H72" s="491">
        <f>H70+H71</f>
        <v>859020</v>
      </c>
      <c r="I72" s="537"/>
      <c r="J72" s="472"/>
    </row>
    <row r="73" spans="1:10" ht="15" customHeight="1">
      <c r="A73" s="420"/>
      <c r="B73" s="415" t="s">
        <v>523</v>
      </c>
      <c r="C73" s="428"/>
      <c r="D73" s="428"/>
      <c r="E73" s="428"/>
      <c r="F73" s="428"/>
      <c r="G73" s="428"/>
      <c r="H73" s="492">
        <f>IF(Data!E2&gt;19814, Intt!I1, IF(H17&gt;0, Intt!I1,0))</f>
        <v>0</v>
      </c>
      <c r="I73" s="540" t="str">
        <f>IF(H73&lt;&gt;0,0,"NIL")</f>
        <v>NIL</v>
      </c>
      <c r="J73" s="473"/>
    </row>
    <row r="74" spans="1:10" ht="15" customHeight="1">
      <c r="A74" s="420"/>
      <c r="B74" s="450" t="s">
        <v>768</v>
      </c>
      <c r="C74" s="428"/>
      <c r="D74" s="428"/>
      <c r="E74" s="428"/>
      <c r="F74" s="428"/>
      <c r="G74" s="428"/>
      <c r="H74" s="490">
        <f>H72+H73</f>
        <v>859020</v>
      </c>
      <c r="I74" s="537">
        <f>IF(H74&lt;&gt;0,0,"NIL")</f>
        <v>0</v>
      </c>
      <c r="J74" s="472"/>
    </row>
    <row r="75" spans="1:10" ht="15" customHeight="1">
      <c r="A75" s="420"/>
      <c r="B75" s="421" t="s">
        <v>571</v>
      </c>
      <c r="C75" s="428"/>
      <c r="D75" s="428"/>
      <c r="E75" s="428"/>
      <c r="F75" s="428"/>
      <c r="G75" s="428"/>
      <c r="H75" s="490"/>
      <c r="I75" s="537"/>
      <c r="J75" s="471"/>
    </row>
    <row r="76" spans="1:10" ht="15" customHeight="1">
      <c r="A76" s="420"/>
      <c r="B76" s="667">
        <v>42272</v>
      </c>
      <c r="C76" s="1115" t="s">
        <v>993</v>
      </c>
      <c r="D76" s="1115"/>
      <c r="E76" s="1115"/>
      <c r="F76" s="1115"/>
      <c r="G76" s="447">
        <v>48000</v>
      </c>
      <c r="H76" s="482"/>
      <c r="I76" s="536"/>
      <c r="J76" s="472"/>
    </row>
    <row r="77" spans="1:10" ht="15" customHeight="1">
      <c r="A77" s="420"/>
      <c r="B77" s="588">
        <f>SUM(G76:G78)</f>
        <v>378000</v>
      </c>
      <c r="C77" s="1115" t="s">
        <v>1180</v>
      </c>
      <c r="D77" s="1115"/>
      <c r="E77" s="1115"/>
      <c r="F77" s="1115"/>
      <c r="G77" s="410">
        <v>300000</v>
      </c>
      <c r="H77" s="482"/>
      <c r="I77" s="536"/>
      <c r="J77" s="472"/>
    </row>
    <row r="78" spans="1:10" ht="12.75" customHeight="1">
      <c r="A78" s="420"/>
      <c r="B78" s="459"/>
      <c r="C78" s="1115" t="s">
        <v>1179</v>
      </c>
      <c r="D78" s="1115"/>
      <c r="E78" s="1115"/>
      <c r="F78" s="1115"/>
      <c r="G78" s="410">
        <v>30000</v>
      </c>
      <c r="H78" s="482"/>
      <c r="I78" s="536"/>
      <c r="J78" s="472"/>
    </row>
    <row r="79" spans="1:10" ht="12.75" customHeight="1" thickBot="1">
      <c r="A79" s="414"/>
      <c r="B79" s="477"/>
      <c r="C79" s="1117" t="s">
        <v>1181</v>
      </c>
      <c r="D79" s="1117"/>
      <c r="E79" s="1117"/>
      <c r="F79" s="1117"/>
      <c r="G79" s="481">
        <f>IF(H74-SUM(G76:G78)&gt;0,(H74-SUM(G76:G78)),0)</f>
        <v>481020</v>
      </c>
      <c r="H79" s="493">
        <f>SUM(G76:G79)</f>
        <v>859020</v>
      </c>
      <c r="I79" s="541">
        <f>IF(H79&lt;&gt;0,0,"NIL")</f>
        <v>0</v>
      </c>
      <c r="J79" s="478"/>
    </row>
    <row r="80" spans="1:10" ht="18" customHeight="1" thickBot="1">
      <c r="A80" s="494"/>
      <c r="B80" s="495" t="str">
        <f>IF(H80=0,"TAX  PAYABLE / REFUND ",IF(H80&lt;0,"REFUND","TAX  PAYABLE"))</f>
        <v xml:space="preserve">TAX  PAYABLE / REFUND </v>
      </c>
      <c r="C80" s="496"/>
      <c r="D80" s="496"/>
      <c r="E80" s="497"/>
      <c r="F80" s="498" t="s">
        <v>776</v>
      </c>
      <c r="G80" s="497"/>
      <c r="H80" s="499">
        <f>ROUND((H74-H79)/10,0)*10</f>
        <v>0</v>
      </c>
      <c r="I80" s="542" t="str">
        <f>IF(H80&lt;&gt;0,0,"NIL")</f>
        <v>NIL</v>
      </c>
      <c r="J80" s="500"/>
    </row>
    <row r="81" spans="1:11">
      <c r="A81" s="567"/>
      <c r="B81" s="570"/>
      <c r="C81" s="570"/>
      <c r="D81" s="570"/>
      <c r="E81" s="570"/>
      <c r="F81" s="570"/>
      <c r="G81" s="570"/>
      <c r="H81" s="570"/>
      <c r="I81" s="568"/>
      <c r="J81" s="569"/>
      <c r="K81" s="554"/>
    </row>
    <row r="82" spans="1:11">
      <c r="A82" s="567"/>
      <c r="B82" s="554"/>
      <c r="C82" s="554"/>
      <c r="D82" s="554"/>
      <c r="E82" s="554"/>
      <c r="F82" s="554"/>
      <c r="G82" s="554"/>
      <c r="H82" s="554"/>
      <c r="I82" s="568"/>
      <c r="J82" s="569"/>
      <c r="K82" s="554"/>
    </row>
    <row r="83" spans="1:11">
      <c r="A83" s="567"/>
      <c r="B83" s="554"/>
      <c r="C83" s="554"/>
      <c r="D83" s="554"/>
      <c r="E83" s="554"/>
      <c r="F83" s="554"/>
      <c r="G83" s="554"/>
      <c r="H83" s="554"/>
      <c r="I83" s="568"/>
      <c r="J83" s="569"/>
      <c r="K83" s="554"/>
    </row>
    <row r="84" spans="1:11">
      <c r="A84" s="567"/>
      <c r="B84" s="554"/>
      <c r="C84" s="554"/>
      <c r="D84" s="554"/>
      <c r="E84" s="554"/>
      <c r="F84" s="554"/>
      <c r="G84" s="554"/>
      <c r="H84" s="554"/>
      <c r="I84" s="568"/>
      <c r="J84" s="569"/>
      <c r="K84" s="554"/>
    </row>
    <row r="85" spans="1:11">
      <c r="A85" s="567"/>
      <c r="B85" s="554"/>
      <c r="C85" s="554"/>
      <c r="D85" s="554"/>
      <c r="E85" s="554"/>
      <c r="F85" s="554"/>
      <c r="G85" s="554"/>
      <c r="H85" s="554"/>
      <c r="I85" s="568"/>
      <c r="J85" s="569"/>
      <c r="K85" s="554"/>
    </row>
    <row r="86" spans="1:11">
      <c r="A86" s="567"/>
      <c r="B86" s="554"/>
      <c r="C86" s="554"/>
      <c r="D86" s="554"/>
      <c r="E86" s="554"/>
      <c r="F86" s="554"/>
      <c r="G86" s="554"/>
      <c r="H86" s="554"/>
      <c r="I86" s="568"/>
      <c r="J86" s="569"/>
      <c r="K86" s="554"/>
    </row>
  </sheetData>
  <mergeCells count="6">
    <mergeCell ref="C79:F79"/>
    <mergeCell ref="A1:J1"/>
    <mergeCell ref="A2:J2"/>
    <mergeCell ref="C76:F76"/>
    <mergeCell ref="C77:F77"/>
    <mergeCell ref="C78:F78"/>
  </mergeCells>
  <conditionalFormatting sqref="F65">
    <cfRule type="expression" dxfId="5" priority="1" stopIfTrue="1">
      <formula>"""$E$55=0"""</formula>
    </cfRule>
  </conditionalFormatting>
  <dataValidations count="2">
    <dataValidation type="list" errorStyle="information" allowBlank="1" showInputMessage="1" showErrorMessage="1" sqref="C45">
      <formula1>"ICICI PRUDENTIAL PREM, BAJAJ ALLIANZ LIFE INSURANCE PREM., LIC  PREMIUM, ULIP PREMIUM"</formula1>
    </dataValidation>
    <dataValidation type="list" errorStyle="information" allowBlank="1" showInputMessage="1" showErrorMessage="1" sqref="D4:D6 E7">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L98"/>
  <sheetViews>
    <sheetView showZeros="0" topLeftCell="A72"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9.42578125" style="416" customWidth="1"/>
    <col min="8" max="8" width="11.140625" style="416" customWidth="1"/>
    <col min="9" max="9" width="4.28515625" style="526" customWidth="1"/>
    <col min="10" max="10" width="1.85546875" style="476" customWidth="1"/>
    <col min="11" max="16384" width="9.140625" style="416"/>
  </cols>
  <sheetData>
    <row r="1" spans="1:10" s="413" customFormat="1" ht="18.75" customHeight="1">
      <c r="A1" s="1108" t="s">
        <v>1083</v>
      </c>
      <c r="B1" s="1109"/>
      <c r="C1" s="1109"/>
      <c r="D1" s="1109"/>
      <c r="E1" s="1109"/>
      <c r="F1" s="1109"/>
      <c r="G1" s="1109"/>
      <c r="H1" s="1109"/>
      <c r="I1" s="1109"/>
      <c r="J1" s="1110"/>
    </row>
    <row r="2" spans="1:10" ht="18" customHeight="1" thickBot="1">
      <c r="A2" s="1111" t="s">
        <v>562</v>
      </c>
      <c r="B2" s="1112"/>
      <c r="C2" s="1112"/>
      <c r="D2" s="1112"/>
      <c r="E2" s="1112"/>
      <c r="F2" s="1112"/>
      <c r="G2" s="1112"/>
      <c r="H2" s="1112"/>
      <c r="I2" s="1112"/>
      <c r="J2" s="1113"/>
    </row>
    <row r="3" spans="1:10" ht="20.100000000000001" customHeight="1">
      <c r="A3" s="417"/>
      <c r="B3" s="418" t="s">
        <v>994</v>
      </c>
      <c r="C3" s="419"/>
      <c r="D3" s="419"/>
      <c r="E3" s="419"/>
      <c r="F3" s="419"/>
      <c r="G3" s="419"/>
      <c r="H3" s="501" t="s">
        <v>1013</v>
      </c>
      <c r="I3" s="535"/>
      <c r="J3" s="470"/>
    </row>
    <row r="4" spans="1:10" ht="15" customHeight="1">
      <c r="A4" s="420"/>
      <c r="B4" s="421"/>
      <c r="C4" s="422" t="s">
        <v>567</v>
      </c>
      <c r="D4" s="422"/>
      <c r="E4" s="415"/>
      <c r="F4" s="423"/>
      <c r="G4" s="691">
        <v>3100000</v>
      </c>
      <c r="H4" s="482"/>
      <c r="I4" s="536"/>
      <c r="J4" s="471"/>
    </row>
    <row r="5" spans="1:10" ht="15" customHeight="1">
      <c r="A5" s="420"/>
      <c r="B5" s="421"/>
      <c r="C5" s="422" t="s">
        <v>1183</v>
      </c>
      <c r="D5" s="422"/>
      <c r="E5" s="415"/>
      <c r="F5" s="423"/>
      <c r="G5" s="691">
        <f>12000-9000</f>
        <v>3000</v>
      </c>
      <c r="H5" s="482"/>
      <c r="I5" s="536"/>
      <c r="J5" s="471"/>
    </row>
    <row r="6" spans="1:10" ht="15" customHeight="1">
      <c r="A6" s="420"/>
      <c r="B6" s="421"/>
      <c r="C6" s="408" t="s">
        <v>1172</v>
      </c>
      <c r="D6" s="422"/>
      <c r="E6" s="415"/>
      <c r="F6" s="423"/>
      <c r="G6" s="691">
        <f>80000</f>
        <v>80000</v>
      </c>
      <c r="H6" s="482"/>
      <c r="I6" s="536"/>
      <c r="J6" s="471"/>
    </row>
    <row r="7" spans="1:10" ht="15" customHeight="1">
      <c r="A7" s="420"/>
      <c r="B7" s="421"/>
      <c r="C7" s="408" t="s">
        <v>47</v>
      </c>
      <c r="D7" s="422"/>
      <c r="E7" s="415"/>
      <c r="F7" s="423"/>
      <c r="G7" s="691">
        <v>18000</v>
      </c>
      <c r="H7" s="482"/>
      <c r="I7" s="536"/>
      <c r="J7" s="471"/>
    </row>
    <row r="8" spans="1:10" ht="15" customHeight="1">
      <c r="A8" s="420"/>
      <c r="B8" s="421"/>
      <c r="C8" s="422" t="s">
        <v>1174</v>
      </c>
      <c r="D8" s="422"/>
      <c r="E8" s="415"/>
      <c r="F8" s="423"/>
      <c r="G8" s="411">
        <v>24000</v>
      </c>
      <c r="H8" s="482"/>
      <c r="I8" s="536"/>
      <c r="J8" s="471"/>
    </row>
    <row r="9" spans="1:10" ht="15" customHeight="1">
      <c r="A9" s="420"/>
      <c r="B9" s="421"/>
      <c r="C9" s="422" t="s">
        <v>1174</v>
      </c>
      <c r="D9" s="416" t="s">
        <v>1227</v>
      </c>
      <c r="F9" s="436" t="s">
        <v>1228</v>
      </c>
      <c r="G9" s="637">
        <v>80000</v>
      </c>
      <c r="H9" s="482"/>
      <c r="I9" s="536"/>
      <c r="J9" s="471"/>
    </row>
    <row r="10" spans="1:10" ht="15" customHeight="1">
      <c r="A10" s="420"/>
      <c r="B10" s="415"/>
      <c r="C10" s="422" t="s">
        <v>1175</v>
      </c>
      <c r="D10" s="415"/>
      <c r="E10" s="415"/>
      <c r="F10" s="415"/>
      <c r="G10" s="425">
        <v>20000</v>
      </c>
      <c r="H10" s="482">
        <f>SUM(G4:G10)</f>
        <v>3325000</v>
      </c>
      <c r="I10" s="537">
        <f>IF(H10&lt;&gt;0,0,"NIL")</f>
        <v>0</v>
      </c>
      <c r="J10" s="472"/>
    </row>
    <row r="11" spans="1:10" ht="15" customHeight="1">
      <c r="A11" s="420"/>
      <c r="B11" s="426" t="s">
        <v>995</v>
      </c>
      <c r="C11" s="415"/>
      <c r="D11" s="415"/>
      <c r="E11" s="525" t="s">
        <v>1014</v>
      </c>
      <c r="F11" s="423"/>
      <c r="G11" s="415"/>
      <c r="H11" s="482"/>
      <c r="I11" s="537"/>
      <c r="J11" s="472"/>
    </row>
    <row r="12" spans="1:10" ht="15" customHeight="1">
      <c r="A12" s="420"/>
      <c r="B12" s="426"/>
      <c r="C12" s="583" t="s">
        <v>1127</v>
      </c>
      <c r="D12" s="422"/>
      <c r="E12" s="672" t="s">
        <v>1184</v>
      </c>
      <c r="F12" s="428"/>
      <c r="G12" s="411">
        <v>2000000</v>
      </c>
      <c r="H12" s="482"/>
      <c r="I12" s="537"/>
      <c r="J12" s="472"/>
    </row>
    <row r="13" spans="1:10" ht="15" customHeight="1">
      <c r="A13" s="420"/>
      <c r="B13" s="426"/>
      <c r="C13" s="408" t="s">
        <v>769</v>
      </c>
      <c r="D13" s="415"/>
      <c r="E13" s="408"/>
      <c r="F13" s="415"/>
      <c r="G13" s="479">
        <v>60000</v>
      </c>
      <c r="H13" s="482"/>
      <c r="I13" s="537"/>
      <c r="J13" s="472"/>
    </row>
    <row r="14" spans="1:10" ht="15" customHeight="1">
      <c r="A14" s="420"/>
      <c r="B14" s="426"/>
      <c r="C14" s="408"/>
      <c r="D14" s="415"/>
      <c r="E14" s="408"/>
      <c r="F14" s="415"/>
      <c r="G14" s="423">
        <f>IF((G12-G13)&lt;0,0,(G12-G13))</f>
        <v>1940000</v>
      </c>
      <c r="H14" s="482"/>
      <c r="I14" s="537"/>
      <c r="J14" s="472"/>
    </row>
    <row r="15" spans="1:10" ht="15" customHeight="1">
      <c r="A15" s="420"/>
      <c r="B15" s="426"/>
      <c r="C15" s="590" t="s">
        <v>514</v>
      </c>
      <c r="D15" s="415"/>
      <c r="E15" s="408" t="s">
        <v>1093</v>
      </c>
      <c r="F15" s="415">
        <f>G14*0.3</f>
        <v>582000</v>
      </c>
      <c r="G15" s="423"/>
      <c r="H15" s="482"/>
      <c r="I15" s="537"/>
      <c r="J15" s="472"/>
    </row>
    <row r="16" spans="1:10" ht="15" customHeight="1">
      <c r="A16" s="420"/>
      <c r="B16" s="426"/>
      <c r="D16" s="415"/>
      <c r="E16" s="434" t="s">
        <v>1094</v>
      </c>
      <c r="F16" s="591">
        <v>315000</v>
      </c>
      <c r="G16" s="592">
        <f>F15+F16</f>
        <v>897000</v>
      </c>
      <c r="H16" s="482"/>
      <c r="I16" s="537"/>
      <c r="J16" s="472"/>
    </row>
    <row r="17" spans="1:10" ht="15" customHeight="1" thickBot="1">
      <c r="A17" s="420"/>
      <c r="B17" s="426"/>
      <c r="D17" s="415"/>
      <c r="E17" s="434"/>
      <c r="F17" s="423"/>
      <c r="G17" s="674">
        <f>G14-G16</f>
        <v>1043000</v>
      </c>
      <c r="H17" s="482"/>
      <c r="I17" s="537"/>
      <c r="J17" s="472"/>
    </row>
    <row r="18" spans="1:10" ht="15" customHeight="1" thickTop="1">
      <c r="A18" s="420"/>
      <c r="B18" s="415"/>
      <c r="C18" s="583" t="s">
        <v>1164</v>
      </c>
      <c r="D18" s="422"/>
      <c r="E18" s="663" t="s">
        <v>1185</v>
      </c>
      <c r="F18" s="428"/>
      <c r="G18" s="411"/>
      <c r="H18" s="482"/>
      <c r="I18" s="537"/>
      <c r="J18" s="472"/>
    </row>
    <row r="19" spans="1:10" ht="15" hidden="1" customHeight="1">
      <c r="A19" s="420"/>
      <c r="B19" s="415"/>
      <c r="C19" s="408" t="s">
        <v>769</v>
      </c>
      <c r="D19" s="415"/>
      <c r="E19" s="408"/>
      <c r="F19" s="415"/>
      <c r="G19" s="479"/>
      <c r="H19" s="482"/>
      <c r="I19" s="537"/>
      <c r="J19" s="472"/>
    </row>
    <row r="20" spans="1:10" ht="15" hidden="1" customHeight="1">
      <c r="A20" s="420"/>
      <c r="B20" s="415"/>
      <c r="C20" s="408"/>
      <c r="D20" s="415"/>
      <c r="E20" s="408"/>
      <c r="F20" s="415"/>
      <c r="G20" s="423">
        <f>IF((G18-G19)&lt;0,0,(G18-G19))</f>
        <v>0</v>
      </c>
      <c r="H20" s="482"/>
      <c r="I20" s="537"/>
      <c r="J20" s="472"/>
    </row>
    <row r="21" spans="1:10" ht="15" hidden="1" customHeight="1">
      <c r="A21" s="420"/>
      <c r="B21" s="415"/>
      <c r="C21" s="590" t="s">
        <v>514</v>
      </c>
      <c r="D21" s="415"/>
      <c r="E21" s="408" t="s">
        <v>1093</v>
      </c>
      <c r="F21" s="415">
        <f>G20*0.3</f>
        <v>0</v>
      </c>
      <c r="G21" s="423"/>
      <c r="H21" s="482"/>
      <c r="I21" s="537"/>
      <c r="J21" s="472"/>
    </row>
    <row r="22" spans="1:10" ht="15" customHeight="1">
      <c r="A22" s="420"/>
      <c r="B22" s="415"/>
      <c r="C22" s="590"/>
      <c r="D22" s="415"/>
      <c r="E22" s="434" t="s">
        <v>1094</v>
      </c>
      <c r="F22" s="673">
        <v>282000</v>
      </c>
      <c r="G22" s="592">
        <v>200000</v>
      </c>
      <c r="H22" s="482"/>
      <c r="I22" s="537"/>
      <c r="J22" s="472"/>
    </row>
    <row r="23" spans="1:10" ht="15" customHeight="1" thickBot="1">
      <c r="A23" s="420"/>
      <c r="B23" s="415"/>
      <c r="D23" s="415"/>
      <c r="G23" s="674">
        <f>0-G22</f>
        <v>-200000</v>
      </c>
      <c r="H23" s="482">
        <f>G17+G23</f>
        <v>843000</v>
      </c>
      <c r="I23" s="537">
        <f>IF(H23&lt;&gt;0,0,"NIL")</f>
        <v>0</v>
      </c>
      <c r="J23" s="472"/>
    </row>
    <row r="24" spans="1:10" ht="15" hidden="1" customHeight="1">
      <c r="A24" s="420"/>
      <c r="B24" s="421" t="s">
        <v>996</v>
      </c>
      <c r="C24" s="408"/>
      <c r="D24" s="415"/>
      <c r="E24" s="429"/>
      <c r="F24" s="423"/>
      <c r="G24" s="415"/>
      <c r="H24" s="482"/>
      <c r="I24" s="537"/>
      <c r="J24" s="472"/>
    </row>
    <row r="25" spans="1:10" ht="15" hidden="1" customHeight="1">
      <c r="A25" s="420"/>
      <c r="B25" s="415"/>
      <c r="C25" s="408" t="s">
        <v>991</v>
      </c>
      <c r="D25" s="415"/>
      <c r="E25" s="429"/>
      <c r="F25" s="423"/>
      <c r="G25" s="411"/>
      <c r="H25" s="482"/>
      <c r="I25" s="537"/>
      <c r="J25" s="472"/>
    </row>
    <row r="26" spans="1:10" ht="15" hidden="1" customHeight="1">
      <c r="A26" s="420"/>
      <c r="B26" s="415"/>
      <c r="C26" s="408" t="s">
        <v>992</v>
      </c>
      <c r="D26" s="415"/>
      <c r="E26" s="429"/>
      <c r="F26" s="423"/>
      <c r="G26" s="479"/>
      <c r="H26" s="483">
        <f>G25-G26</f>
        <v>0</v>
      </c>
      <c r="I26" s="537" t="str">
        <f>IF(H26&lt;&gt;0,0,"NIL")</f>
        <v>NIL</v>
      </c>
      <c r="J26" s="472"/>
    </row>
    <row r="27" spans="1:10" ht="15" customHeight="1" thickTop="1">
      <c r="A27" s="420"/>
      <c r="B27" s="421" t="s">
        <v>997</v>
      </c>
      <c r="C27" s="415"/>
      <c r="D27" s="415"/>
      <c r="E27" s="415"/>
      <c r="F27" s="415"/>
      <c r="G27" s="415"/>
      <c r="H27" s="482"/>
      <c r="I27" s="537"/>
      <c r="J27" s="472"/>
    </row>
    <row r="28" spans="1:10">
      <c r="A28" s="420"/>
      <c r="B28" s="415"/>
      <c r="C28" s="408" t="s">
        <v>498</v>
      </c>
      <c r="D28" s="415"/>
      <c r="E28" s="415"/>
      <c r="F28" s="415"/>
      <c r="G28" s="411"/>
      <c r="H28" s="482"/>
      <c r="I28" s="537"/>
      <c r="J28" s="472"/>
    </row>
    <row r="29" spans="1:10">
      <c r="A29" s="420"/>
      <c r="B29" s="415"/>
      <c r="C29" s="408" t="s">
        <v>77</v>
      </c>
      <c r="D29" s="415"/>
      <c r="E29" s="415"/>
      <c r="F29" s="415"/>
      <c r="G29" s="479"/>
      <c r="H29" s="482">
        <f>G28+G29</f>
        <v>0</v>
      </c>
      <c r="I29" s="537" t="str">
        <f>IF(H29&lt;&gt;0,0,"NIL")</f>
        <v>NIL</v>
      </c>
      <c r="J29" s="472"/>
    </row>
    <row r="30" spans="1:10" ht="20.100000000000001" customHeight="1">
      <c r="A30" s="420"/>
      <c r="B30" s="421" t="s">
        <v>998</v>
      </c>
      <c r="C30" s="415"/>
      <c r="D30" s="415"/>
      <c r="E30" s="415"/>
      <c r="F30" s="415"/>
      <c r="G30" s="415"/>
      <c r="H30" s="482"/>
      <c r="I30" s="536"/>
      <c r="J30" s="471"/>
    </row>
    <row r="31" spans="1:10" ht="13.5">
      <c r="A31" s="420"/>
      <c r="B31" s="636"/>
      <c r="C31" s="431" t="s">
        <v>1186</v>
      </c>
      <c r="D31" s="431"/>
      <c r="E31" s="431" t="s">
        <v>1193</v>
      </c>
      <c r="F31" s="415"/>
      <c r="G31" s="691">
        <v>15700</v>
      </c>
      <c r="H31" s="482"/>
      <c r="I31" s="536"/>
      <c r="J31" s="471"/>
    </row>
    <row r="32" spans="1:10" ht="13.5">
      <c r="A32" s="420"/>
      <c r="B32" s="636"/>
      <c r="C32" s="431" t="s">
        <v>1189</v>
      </c>
      <c r="D32" s="431"/>
      <c r="E32" s="431"/>
      <c r="F32" s="415"/>
      <c r="G32" s="411">
        <v>2000</v>
      </c>
      <c r="H32" s="482"/>
      <c r="I32" s="536"/>
      <c r="J32" s="471"/>
    </row>
    <row r="33" spans="1:10" ht="13.5">
      <c r="A33" s="420"/>
      <c r="B33" s="636"/>
      <c r="C33" s="431" t="s">
        <v>1188</v>
      </c>
      <c r="D33" s="431"/>
      <c r="E33" s="431"/>
      <c r="F33" s="408"/>
      <c r="G33" s="411">
        <v>60000</v>
      </c>
      <c r="H33" s="482"/>
      <c r="I33" s="536"/>
      <c r="J33" s="471"/>
    </row>
    <row r="34" spans="1:10" ht="13.5">
      <c r="A34" s="420"/>
      <c r="B34" s="636"/>
      <c r="C34" s="431" t="s">
        <v>1187</v>
      </c>
      <c r="D34" s="431"/>
      <c r="E34" s="431"/>
      <c r="F34" s="408"/>
      <c r="G34" s="411"/>
      <c r="H34" s="482"/>
      <c r="I34" s="536"/>
      <c r="J34" s="471"/>
    </row>
    <row r="35" spans="1:10" ht="13.5">
      <c r="A35" s="420"/>
      <c r="B35" s="589"/>
      <c r="C35" s="431" t="s">
        <v>1190</v>
      </c>
      <c r="D35" s="431"/>
      <c r="E35" s="431"/>
      <c r="F35" s="431"/>
      <c r="G35" s="462">
        <v>1736</v>
      </c>
      <c r="H35" s="482"/>
      <c r="I35" s="536"/>
      <c r="J35" s="471"/>
    </row>
    <row r="36" spans="1:10" ht="15" customHeight="1">
      <c r="A36" s="420"/>
      <c r="B36" s="589"/>
      <c r="C36" s="431"/>
      <c r="D36" s="434"/>
      <c r="E36" s="433"/>
      <c r="F36" s="433"/>
      <c r="G36" s="480">
        <f>SUM(G31:G35)</f>
        <v>79436</v>
      </c>
      <c r="H36" s="482"/>
      <c r="I36" s="536"/>
      <c r="J36" s="471"/>
    </row>
    <row r="37" spans="1:10" ht="15" hidden="1" customHeight="1">
      <c r="A37" s="420"/>
      <c r="B37" s="589"/>
      <c r="C37" s="435" t="s">
        <v>512</v>
      </c>
      <c r="D37" s="436"/>
      <c r="E37" s="436"/>
      <c r="F37" s="436"/>
      <c r="G37" s="437"/>
      <c r="H37" s="482"/>
      <c r="I37" s="536"/>
      <c r="J37" s="471"/>
    </row>
    <row r="38" spans="1:10" ht="15" hidden="1" customHeight="1">
      <c r="A38" s="420"/>
      <c r="B38" s="589"/>
      <c r="G38" s="410"/>
      <c r="H38" s="482"/>
      <c r="I38" s="536"/>
      <c r="J38" s="471"/>
    </row>
    <row r="39" spans="1:10" ht="15" hidden="1" customHeight="1">
      <c r="A39" s="420"/>
      <c r="B39" s="589"/>
      <c r="G39" s="410"/>
      <c r="H39" s="482"/>
      <c r="I39" s="536"/>
      <c r="J39" s="471"/>
    </row>
    <row r="40" spans="1:10" ht="15" hidden="1" customHeight="1">
      <c r="A40" s="420"/>
      <c r="B40" s="589"/>
      <c r="C40" s="436" t="s">
        <v>846</v>
      </c>
      <c r="D40" s="436"/>
      <c r="E40" s="415"/>
      <c r="F40" s="438"/>
      <c r="G40" s="437"/>
      <c r="H40" s="482"/>
      <c r="I40" s="536"/>
      <c r="J40" s="471"/>
    </row>
    <row r="41" spans="1:10" ht="15" hidden="1" customHeight="1">
      <c r="A41" s="420"/>
      <c r="B41" s="589"/>
      <c r="C41" s="432" t="s">
        <v>847</v>
      </c>
      <c r="D41" s="415"/>
      <c r="E41" s="415"/>
      <c r="F41" s="461">
        <f>ROUND(IF(F40/3&gt;15000,15000,F40/3),0)</f>
        <v>0</v>
      </c>
      <c r="G41" s="447">
        <f>F40-F41</f>
        <v>0</v>
      </c>
      <c r="H41" s="482"/>
      <c r="I41" s="536"/>
      <c r="J41" s="471"/>
    </row>
    <row r="42" spans="1:10" ht="15" hidden="1" customHeight="1">
      <c r="A42" s="420"/>
      <c r="B42" s="589"/>
      <c r="C42" s="415"/>
      <c r="D42" s="415"/>
      <c r="E42" s="415"/>
      <c r="F42" s="415"/>
      <c r="G42" s="480">
        <f>SUM(G38:G41)</f>
        <v>0</v>
      </c>
      <c r="H42" s="484"/>
      <c r="J42" s="472"/>
    </row>
    <row r="43" spans="1:10" ht="15" customHeight="1">
      <c r="A43" s="420"/>
      <c r="B43" s="589"/>
      <c r="C43" s="415"/>
      <c r="D43" s="415"/>
      <c r="E43" s="415"/>
      <c r="F43" s="415"/>
      <c r="G43" s="437"/>
      <c r="H43" s="482">
        <f>+G36</f>
        <v>79436</v>
      </c>
      <c r="I43" s="537">
        <f>IF(H43&lt;&gt;0,0,"NIL")</f>
        <v>0</v>
      </c>
      <c r="J43" s="472"/>
    </row>
    <row r="44" spans="1:10" ht="15" hidden="1" customHeight="1">
      <c r="A44" s="420"/>
      <c r="B44" s="589"/>
      <c r="C44" s="439" t="s">
        <v>564</v>
      </c>
      <c r="D44" s="436"/>
      <c r="E44" s="436"/>
      <c r="F44" s="440"/>
      <c r="G44" s="437"/>
      <c r="H44" s="484"/>
      <c r="J44" s="472"/>
    </row>
    <row r="45" spans="1:10" ht="12.75" hidden="1" customHeight="1">
      <c r="A45" s="420"/>
      <c r="B45" s="421"/>
      <c r="C45" s="409" t="s">
        <v>851</v>
      </c>
      <c r="D45" s="436"/>
      <c r="E45" s="441"/>
      <c r="F45" s="442"/>
      <c r="G45" s="430"/>
      <c r="H45" s="482"/>
      <c r="I45" s="536"/>
      <c r="J45" s="471"/>
    </row>
    <row r="46" spans="1:10" ht="12.75" hidden="1" customHeight="1">
      <c r="A46" s="420"/>
      <c r="B46" s="421"/>
      <c r="C46" s="409" t="s">
        <v>981</v>
      </c>
      <c r="D46" s="436"/>
      <c r="E46" s="441"/>
      <c r="F46" s="442"/>
      <c r="G46" s="430"/>
      <c r="H46" s="482"/>
      <c r="I46" s="536"/>
      <c r="J46" s="471"/>
    </row>
    <row r="47" spans="1:10" ht="12.75" hidden="1" customHeight="1">
      <c r="A47" s="420"/>
      <c r="B47" s="421"/>
      <c r="C47" s="409" t="s">
        <v>982</v>
      </c>
      <c r="D47" s="436"/>
      <c r="E47" s="441"/>
      <c r="F47" s="442"/>
      <c r="G47" s="430"/>
      <c r="H47" s="482"/>
      <c r="I47" s="536"/>
      <c r="J47" s="471"/>
    </row>
    <row r="48" spans="1:10" ht="12.75" hidden="1" customHeight="1">
      <c r="A48" s="420"/>
      <c r="B48" s="421"/>
      <c r="C48" s="409" t="s">
        <v>983</v>
      </c>
      <c r="D48" s="436"/>
      <c r="E48" s="415"/>
      <c r="F48" s="442"/>
      <c r="G48" s="430"/>
      <c r="H48" s="482"/>
      <c r="I48" s="536"/>
      <c r="J48" s="471"/>
    </row>
    <row r="49" spans="1:12" ht="12.75" hidden="1" customHeight="1" thickBot="1">
      <c r="A49" s="420"/>
      <c r="B49" s="428"/>
      <c r="C49" s="435"/>
      <c r="D49" s="436"/>
      <c r="E49" s="415"/>
      <c r="F49" s="443">
        <f>SUM(F45:F48)</f>
        <v>0</v>
      </c>
      <c r="G49" s="437"/>
      <c r="H49" s="484"/>
      <c r="J49" s="471"/>
    </row>
    <row r="50" spans="1:12" ht="12.75" customHeight="1">
      <c r="A50" s="420"/>
      <c r="B50" s="428"/>
      <c r="C50" s="435"/>
      <c r="D50" s="436"/>
      <c r="E50" s="415"/>
      <c r="F50" s="444"/>
      <c r="G50" s="437"/>
      <c r="H50" s="484"/>
      <c r="I50" s="538"/>
      <c r="J50" s="534"/>
    </row>
    <row r="51" spans="1:12" ht="15" customHeight="1">
      <c r="A51" s="420"/>
      <c r="B51" s="421" t="s">
        <v>501</v>
      </c>
      <c r="C51" s="415"/>
      <c r="D51" s="415"/>
      <c r="E51" s="428"/>
      <c r="F51" s="428"/>
      <c r="G51" s="424"/>
      <c r="H51" s="485">
        <f>SUM(H10:H49)</f>
        <v>4247436</v>
      </c>
      <c r="I51" s="537">
        <f>IF(H51&lt;&gt;0,0,"NIL")</f>
        <v>0</v>
      </c>
      <c r="J51" s="472"/>
    </row>
    <row r="52" spans="1:12" ht="15" customHeight="1">
      <c r="A52" s="420"/>
      <c r="B52" s="445" t="s">
        <v>999</v>
      </c>
      <c r="C52" s="415"/>
      <c r="D52" s="415"/>
      <c r="E52" s="415"/>
      <c r="F52" s="415"/>
      <c r="G52" s="415"/>
      <c r="H52" s="482"/>
      <c r="I52" s="536"/>
      <c r="J52" s="471"/>
    </row>
    <row r="53" spans="1:12" ht="12.75" customHeight="1">
      <c r="A53" s="420"/>
      <c r="B53" s="446"/>
      <c r="C53" s="435" t="s">
        <v>1080</v>
      </c>
      <c r="D53" s="415"/>
      <c r="E53" s="415"/>
      <c r="F53" s="415"/>
      <c r="G53" s="423"/>
      <c r="H53" s="482"/>
      <c r="I53" s="536"/>
      <c r="J53" s="471"/>
    </row>
    <row r="54" spans="1:12" ht="12.75" hidden="1" customHeight="1">
      <c r="A54" s="420"/>
      <c r="B54" s="446"/>
      <c r="C54" s="431" t="s">
        <v>510</v>
      </c>
      <c r="D54" s="415"/>
      <c r="E54" s="415"/>
      <c r="F54" s="411"/>
      <c r="G54" s="423"/>
      <c r="H54" s="482"/>
      <c r="I54" s="536"/>
      <c r="J54" s="471"/>
    </row>
    <row r="55" spans="1:12" ht="12.75" hidden="1" customHeight="1">
      <c r="A55" s="420"/>
      <c r="B55" s="446"/>
      <c r="C55" s="431" t="s">
        <v>1081</v>
      </c>
      <c r="D55" s="415"/>
      <c r="E55" s="415"/>
      <c r="F55" s="411"/>
      <c r="G55" s="423"/>
      <c r="H55" s="482"/>
      <c r="I55" s="536"/>
      <c r="J55" s="471"/>
    </row>
    <row r="56" spans="1:12" ht="12.75" hidden="1" customHeight="1">
      <c r="A56" s="420"/>
      <c r="B56" s="446"/>
      <c r="C56" s="431" t="s">
        <v>985</v>
      </c>
      <c r="D56" s="415"/>
      <c r="E56" s="415"/>
      <c r="F56" s="411"/>
      <c r="G56" s="423"/>
      <c r="H56" s="482"/>
      <c r="I56" s="536"/>
      <c r="J56" s="471"/>
    </row>
    <row r="57" spans="1:12" ht="12.75" hidden="1" customHeight="1">
      <c r="A57" s="420"/>
      <c r="B57" s="446"/>
      <c r="C57" s="431" t="s">
        <v>984</v>
      </c>
      <c r="D57" s="415"/>
      <c r="E57" s="415"/>
      <c r="F57" s="411"/>
      <c r="G57" s="423"/>
      <c r="H57" s="482"/>
      <c r="I57" s="536"/>
      <c r="J57" s="471"/>
    </row>
    <row r="58" spans="1:12" ht="12.75" customHeight="1">
      <c r="A58" s="420"/>
      <c r="B58" s="446"/>
      <c r="C58" s="431" t="s">
        <v>1177</v>
      </c>
      <c r="D58" s="415"/>
      <c r="E58" s="415"/>
      <c r="F58" s="411">
        <v>60000</v>
      </c>
      <c r="G58" s="423"/>
      <c r="H58" s="482"/>
      <c r="I58" s="536"/>
      <c r="J58" s="471"/>
    </row>
    <row r="59" spans="1:12" ht="12.75" customHeight="1">
      <c r="A59" s="420"/>
      <c r="B59" s="446"/>
      <c r="C59" s="431" t="s">
        <v>1149</v>
      </c>
      <c r="D59" s="415"/>
      <c r="E59" s="415"/>
      <c r="F59" s="411">
        <v>10000</v>
      </c>
      <c r="G59" s="423"/>
      <c r="H59" s="482"/>
      <c r="I59" s="536"/>
      <c r="J59" s="471"/>
      <c r="L59" s="416">
        <f>10000-7736</f>
        <v>2264</v>
      </c>
    </row>
    <row r="60" spans="1:12" ht="12.75" customHeight="1">
      <c r="A60" s="420"/>
      <c r="B60" s="446"/>
      <c r="C60" s="431" t="s">
        <v>1190</v>
      </c>
      <c r="D60" s="415"/>
      <c r="E60" s="415"/>
      <c r="F60" s="411">
        <v>1736</v>
      </c>
      <c r="G60" s="423"/>
      <c r="H60" s="482"/>
      <c r="I60" s="536"/>
      <c r="J60" s="471"/>
      <c r="L60" s="416">
        <f>F58+F60+F61+F66</f>
        <v>147736</v>
      </c>
    </row>
    <row r="61" spans="1:12" ht="12.75" customHeight="1">
      <c r="A61" s="420"/>
      <c r="B61" s="446"/>
      <c r="C61" s="431" t="s">
        <v>509</v>
      </c>
      <c r="D61" s="415"/>
      <c r="E61" s="415"/>
      <c r="F61" s="411">
        <v>36000</v>
      </c>
      <c r="G61" s="423"/>
      <c r="H61" s="482"/>
      <c r="I61" s="536"/>
      <c r="J61" s="471"/>
    </row>
    <row r="62" spans="1:12" ht="12.75" hidden="1" customHeight="1">
      <c r="A62" s="420"/>
      <c r="B62" s="446"/>
      <c r="C62" s="431" t="s">
        <v>986</v>
      </c>
      <c r="D62" s="415"/>
      <c r="E62" s="415"/>
      <c r="F62" s="411"/>
      <c r="G62" s="423"/>
      <c r="H62" s="482"/>
      <c r="I62" s="536"/>
      <c r="J62" s="471"/>
    </row>
    <row r="63" spans="1:12" ht="12.75" hidden="1" customHeight="1">
      <c r="A63" s="420"/>
      <c r="B63" s="446"/>
      <c r="C63" s="431" t="s">
        <v>987</v>
      </c>
      <c r="D63" s="415"/>
      <c r="E63" s="415"/>
      <c r="F63" s="411"/>
      <c r="G63" s="423"/>
      <c r="H63" s="482"/>
      <c r="I63" s="536"/>
      <c r="J63" s="471"/>
    </row>
    <row r="64" spans="1:12" ht="12.75" hidden="1" customHeight="1">
      <c r="A64" s="420"/>
      <c r="B64" s="446"/>
      <c r="C64" s="431" t="s">
        <v>988</v>
      </c>
      <c r="D64" s="415"/>
      <c r="E64" s="415"/>
      <c r="F64" s="411"/>
      <c r="G64" s="423"/>
      <c r="H64" s="482"/>
      <c r="I64" s="536"/>
      <c r="J64" s="471"/>
    </row>
    <row r="65" spans="1:12" ht="12.75" hidden="1" customHeight="1">
      <c r="A65" s="420"/>
      <c r="B65" s="446"/>
      <c r="C65" s="431" t="s">
        <v>989</v>
      </c>
      <c r="D65" s="415"/>
      <c r="E65" s="415"/>
      <c r="F65" s="411"/>
      <c r="G65" s="423"/>
      <c r="H65" s="482"/>
      <c r="I65" s="536"/>
      <c r="J65" s="471"/>
    </row>
    <row r="66" spans="1:12" ht="12.75" customHeight="1">
      <c r="A66" s="420"/>
      <c r="B66" s="446"/>
      <c r="C66" s="431" t="s">
        <v>986</v>
      </c>
      <c r="D66" s="415"/>
      <c r="E66" s="415"/>
      <c r="F66" s="411">
        <v>50000</v>
      </c>
      <c r="G66" s="423"/>
      <c r="H66" s="482"/>
      <c r="I66" s="536"/>
      <c r="J66" s="471"/>
    </row>
    <row r="67" spans="1:12" ht="15" customHeight="1">
      <c r="A67" s="420"/>
      <c r="B67" s="446"/>
      <c r="C67" s="431"/>
      <c r="D67" s="415"/>
      <c r="E67" s="415"/>
      <c r="F67" s="448">
        <f>SUM(F58:F66)</f>
        <v>157736</v>
      </c>
      <c r="G67" s="415">
        <f>IF(F67&gt;150000,150000,F67)</f>
        <v>150000</v>
      </c>
      <c r="H67" s="482"/>
      <c r="I67" s="536"/>
      <c r="J67" s="471"/>
    </row>
    <row r="68" spans="1:12" ht="15" customHeight="1">
      <c r="A68" s="420"/>
      <c r="B68" s="446"/>
      <c r="C68" s="449" t="s">
        <v>1079</v>
      </c>
      <c r="D68" s="415"/>
      <c r="E68" s="415"/>
      <c r="F68" s="450"/>
      <c r="G68" s="411">
        <v>50000</v>
      </c>
      <c r="H68" s="482"/>
      <c r="I68" s="536"/>
      <c r="J68" s="471"/>
    </row>
    <row r="69" spans="1:12" ht="15" hidden="1" customHeight="1">
      <c r="A69" s="420"/>
      <c r="B69" s="446"/>
      <c r="C69" s="449" t="s">
        <v>1078</v>
      </c>
      <c r="D69" s="415"/>
      <c r="E69" s="415"/>
      <c r="F69" s="450"/>
      <c r="G69" s="411"/>
      <c r="H69" s="482"/>
      <c r="I69" s="536"/>
      <c r="J69" s="471"/>
    </row>
    <row r="70" spans="1:12" ht="15" hidden="1" customHeight="1">
      <c r="A70" s="420"/>
      <c r="B70" s="446"/>
      <c r="C70" s="449" t="s">
        <v>852</v>
      </c>
      <c r="D70" s="415"/>
      <c r="E70" s="415"/>
      <c r="F70" s="450"/>
      <c r="G70" s="411"/>
      <c r="H70" s="482"/>
      <c r="I70" s="536"/>
      <c r="J70" s="471"/>
    </row>
    <row r="71" spans="1:12" ht="15" hidden="1" customHeight="1">
      <c r="A71" s="420"/>
      <c r="B71" s="446"/>
      <c r="C71" s="449" t="s">
        <v>611</v>
      </c>
      <c r="D71" s="415"/>
      <c r="E71" s="415"/>
      <c r="F71" s="415"/>
      <c r="G71" s="411"/>
      <c r="H71" s="482"/>
      <c r="I71" s="536"/>
      <c r="J71" s="471"/>
    </row>
    <row r="72" spans="1:12" ht="15" customHeight="1">
      <c r="A72" s="420"/>
      <c r="B72" s="415"/>
      <c r="C72" s="692" t="s">
        <v>979</v>
      </c>
      <c r="D72" s="415"/>
      <c r="E72" s="428"/>
      <c r="F72" s="428"/>
      <c r="G72" s="447">
        <f>IF(G31&gt;10000, 10000, G31)</f>
        <v>10000</v>
      </c>
      <c r="H72" s="482"/>
      <c r="I72" s="536"/>
      <c r="J72" s="471"/>
      <c r="L72" s="675"/>
    </row>
    <row r="73" spans="1:12">
      <c r="A73" s="420"/>
      <c r="B73" s="415"/>
      <c r="C73" s="543" t="s">
        <v>853</v>
      </c>
      <c r="D73" s="415"/>
      <c r="E73" s="428"/>
      <c r="F73" s="428"/>
      <c r="G73" s="411"/>
      <c r="H73" s="482">
        <f>SUM(G67:G73)</f>
        <v>210000</v>
      </c>
      <c r="I73" s="537">
        <f>IF(H73&lt;&gt;0,0,"NIL")</f>
        <v>0</v>
      </c>
      <c r="J73" s="472"/>
    </row>
    <row r="74" spans="1:12" ht="15.75" customHeight="1" thickBot="1">
      <c r="A74" s="420"/>
      <c r="B74" s="451" t="s">
        <v>777</v>
      </c>
      <c r="C74" s="415"/>
      <c r="D74" s="415"/>
      <c r="E74" s="452">
        <f>IF((H51-H73)&lt;0,0,(H51-H73))</f>
        <v>4037436</v>
      </c>
      <c r="F74" s="453" t="s">
        <v>779</v>
      </c>
      <c r="G74" s="440"/>
      <c r="H74" s="486">
        <f>ROUND((E74/10),0)*10</f>
        <v>4037440</v>
      </c>
      <c r="I74" s="539">
        <f>IF(H74&lt;&gt;0,0,"NIL")</f>
        <v>0</v>
      </c>
      <c r="J74" s="475"/>
    </row>
    <row r="75" spans="1:12" ht="15" customHeight="1" thickTop="1">
      <c r="A75" s="420"/>
      <c r="B75" s="450" t="s">
        <v>778</v>
      </c>
      <c r="C75" s="415"/>
      <c r="D75" s="415"/>
      <c r="E75" s="444" t="s">
        <v>521</v>
      </c>
      <c r="F75" s="454" t="s">
        <v>522</v>
      </c>
      <c r="G75" s="444" t="s">
        <v>524</v>
      </c>
      <c r="H75" s="487"/>
      <c r="J75" s="471"/>
    </row>
    <row r="76" spans="1:12" ht="15" customHeight="1">
      <c r="A76" s="420"/>
      <c r="B76" s="530" t="s">
        <v>1170</v>
      </c>
      <c r="C76" s="408" t="s">
        <v>518</v>
      </c>
      <c r="D76" s="415"/>
      <c r="E76" s="455">
        <f>E74-E77</f>
        <v>4037436</v>
      </c>
      <c r="F76" s="456"/>
      <c r="G76" s="415">
        <f>IF(+Data!D2="Senior",ROUND(IF(E76&gt;1000000,(((E76-1000000)*0.3)+120000),IF(E76&gt;500000,(((E76-500000)*0.2)+20000),IF(E76&gt;300000,((E76-300000)*0.1),0))),0),ROUND(IF(E76&gt;1000000,(((E76-1000000)*0.3)+125000),IF(E76&gt;500000,(((E76-500000)*0.2)+25000),IF(E76&gt;250000,((E76-250000)*0.1),0))),0))-5000</f>
        <v>1031231</v>
      </c>
      <c r="H76" s="487"/>
      <c r="J76" s="471"/>
    </row>
    <row r="77" spans="1:12" ht="15" hidden="1" customHeight="1">
      <c r="A77" s="420"/>
      <c r="B77" s="450"/>
      <c r="C77" s="408" t="s">
        <v>519</v>
      </c>
      <c r="D77" s="415"/>
      <c r="E77" s="410"/>
      <c r="F77" s="457">
        <v>0.15</v>
      </c>
      <c r="G77" s="523"/>
      <c r="H77" s="484"/>
      <c r="J77" s="471"/>
    </row>
    <row r="78" spans="1:12" ht="15" hidden="1" customHeight="1">
      <c r="A78" s="420"/>
      <c r="B78" s="415"/>
      <c r="C78" s="415"/>
      <c r="D78" s="456"/>
      <c r="E78" s="428"/>
      <c r="F78" s="415"/>
      <c r="G78" s="526">
        <f>G76+G77</f>
        <v>1031231</v>
      </c>
      <c r="H78" s="488"/>
      <c r="I78" s="537"/>
      <c r="J78" s="472"/>
    </row>
    <row r="79" spans="1:12" ht="15" customHeight="1">
      <c r="A79" s="420"/>
      <c r="C79" s="524" t="s">
        <v>1015</v>
      </c>
      <c r="D79" s="456"/>
      <c r="E79" s="428"/>
      <c r="F79" s="415"/>
      <c r="G79" s="527">
        <f>IF(H74&gt;500000,0,IF(G78&gt;2000,2000,G78))</f>
        <v>0</v>
      </c>
      <c r="H79" s="489">
        <f>G78-G79</f>
        <v>1031231</v>
      </c>
      <c r="I79" s="537">
        <f>IF(H79&lt;&gt;0,0,"NIL")</f>
        <v>0</v>
      </c>
      <c r="J79" s="472"/>
    </row>
    <row r="80" spans="1:12" ht="15" customHeight="1">
      <c r="A80" s="420"/>
      <c r="B80" s="408" t="s">
        <v>774</v>
      </c>
      <c r="C80" s="415"/>
      <c r="D80" s="456"/>
      <c r="E80" s="428"/>
      <c r="F80" s="415"/>
      <c r="G80" s="428"/>
      <c r="H80" s="489">
        <f>ROUND((H79)*0.02,0)</f>
        <v>20625</v>
      </c>
      <c r="I80" s="537">
        <f>IF(H80&lt;&gt;0,0,"NIL")</f>
        <v>0</v>
      </c>
      <c r="J80" s="472"/>
    </row>
    <row r="81" spans="1:11" ht="15" customHeight="1">
      <c r="A81" s="420"/>
      <c r="B81" s="408" t="s">
        <v>775</v>
      </c>
      <c r="C81" s="415"/>
      <c r="D81" s="456"/>
      <c r="E81" s="458"/>
      <c r="F81" s="415"/>
      <c r="G81" s="428"/>
      <c r="H81" s="528">
        <f>ROUND((H79)*0.01,0)</f>
        <v>10312</v>
      </c>
      <c r="I81" s="540">
        <f>IF(H81&lt;&gt;0,0,"NIL")</f>
        <v>0</v>
      </c>
      <c r="J81" s="474"/>
    </row>
    <row r="82" spans="1:11" ht="15" customHeight="1">
      <c r="A82" s="420"/>
      <c r="B82" s="450" t="s">
        <v>565</v>
      </c>
      <c r="C82" s="415"/>
      <c r="D82" s="456"/>
      <c r="E82" s="458"/>
      <c r="F82" s="415"/>
      <c r="G82" s="428"/>
      <c r="H82" s="488">
        <f>SUM(H79:H81)</f>
        <v>1062168</v>
      </c>
      <c r="I82" s="537"/>
      <c r="J82" s="472"/>
    </row>
    <row r="83" spans="1:11" ht="15" hidden="1" customHeight="1">
      <c r="A83" s="420"/>
      <c r="B83" s="427"/>
      <c r="C83" s="428"/>
      <c r="D83" s="428"/>
      <c r="E83" s="428"/>
      <c r="F83" s="428"/>
      <c r="G83" s="428"/>
      <c r="H83" s="528"/>
      <c r="I83" s="540"/>
      <c r="J83" s="473"/>
    </row>
    <row r="84" spans="1:11" ht="15" hidden="1" customHeight="1">
      <c r="A84" s="420"/>
      <c r="B84" s="450"/>
      <c r="C84" s="428"/>
      <c r="D84" s="428"/>
      <c r="E84" s="428"/>
      <c r="F84" s="428"/>
      <c r="G84" s="428"/>
      <c r="H84" s="491">
        <f>H82+H83</f>
        <v>1062168</v>
      </c>
      <c r="I84" s="537"/>
      <c r="J84" s="472"/>
    </row>
    <row r="85" spans="1:11" ht="15" customHeight="1">
      <c r="A85" s="420"/>
      <c r="B85" s="415" t="s">
        <v>523</v>
      </c>
      <c r="C85" s="428"/>
      <c r="D85" s="428"/>
      <c r="E85" s="428"/>
      <c r="F85" s="428"/>
      <c r="G85" s="428"/>
      <c r="H85" s="492">
        <f>IF(Data!E2&gt;19814, Intt!I1, IF(H26&gt;0, Intt!I1,0))</f>
        <v>0</v>
      </c>
      <c r="I85" s="540" t="str">
        <f>IF(H85&lt;&gt;0,0,"NIL")</f>
        <v>NIL</v>
      </c>
      <c r="J85" s="473"/>
    </row>
    <row r="86" spans="1:11" ht="15" customHeight="1">
      <c r="A86" s="420"/>
      <c r="B86" s="450" t="s">
        <v>768</v>
      </c>
      <c r="C86" s="428"/>
      <c r="D86" s="428"/>
      <c r="E86" s="428"/>
      <c r="F86" s="428"/>
      <c r="G86" s="428"/>
      <c r="H86" s="490">
        <f>H84+H85</f>
        <v>1062168</v>
      </c>
      <c r="I86" s="537">
        <f>IF(H86&lt;&gt;0,0,"NIL")</f>
        <v>0</v>
      </c>
      <c r="J86" s="472"/>
    </row>
    <row r="87" spans="1:11" ht="15" customHeight="1">
      <c r="A87" s="420"/>
      <c r="B87" s="421" t="s">
        <v>571</v>
      </c>
      <c r="C87" s="428"/>
      <c r="D87" s="428"/>
      <c r="E87" s="428"/>
      <c r="F87" s="428"/>
      <c r="G87" s="428"/>
      <c r="H87" s="490"/>
      <c r="I87" s="537"/>
      <c r="J87" s="471"/>
    </row>
    <row r="88" spans="1:11" ht="15" customHeight="1">
      <c r="A88" s="420"/>
      <c r="B88" s="667">
        <v>42248</v>
      </c>
      <c r="C88" s="1115" t="s">
        <v>993</v>
      </c>
      <c r="D88" s="1115"/>
      <c r="E88" s="1115"/>
      <c r="F88" s="1115"/>
      <c r="G88" s="447">
        <v>91000</v>
      </c>
      <c r="H88" s="482"/>
      <c r="I88" s="536"/>
      <c r="J88" s="472"/>
    </row>
    <row r="89" spans="1:11" ht="15" customHeight="1">
      <c r="A89" s="420"/>
      <c r="B89" s="588">
        <f>SUM(G88:G90)</f>
        <v>1191000</v>
      </c>
      <c r="C89" s="1115" t="s">
        <v>1180</v>
      </c>
      <c r="D89" s="1115"/>
      <c r="E89" s="1115"/>
      <c r="F89" s="1115"/>
      <c r="G89" s="410">
        <v>900000</v>
      </c>
      <c r="H89" s="482"/>
      <c r="I89" s="536"/>
      <c r="J89" s="472"/>
    </row>
    <row r="90" spans="1:11" ht="12.75" customHeight="1">
      <c r="A90" s="420"/>
      <c r="B90" s="459"/>
      <c r="C90" s="1115" t="s">
        <v>1191</v>
      </c>
      <c r="D90" s="1115"/>
      <c r="E90" s="1115"/>
      <c r="F90" s="1115"/>
      <c r="G90" s="410">
        <v>200000</v>
      </c>
      <c r="H90" s="482"/>
      <c r="I90" s="536"/>
      <c r="J90" s="472"/>
    </row>
    <row r="91" spans="1:11" ht="12.75" customHeight="1" thickBot="1">
      <c r="A91" s="414"/>
      <c r="B91" s="477"/>
      <c r="C91" s="1117" t="s">
        <v>1192</v>
      </c>
      <c r="D91" s="1117"/>
      <c r="E91" s="1117"/>
      <c r="F91" s="1117"/>
      <c r="G91" s="481">
        <v>160000</v>
      </c>
      <c r="H91" s="493">
        <f>SUM(G88:G91)</f>
        <v>1351000</v>
      </c>
      <c r="I91" s="541">
        <f>IF(H91&lt;&gt;0,0,"NIL")</f>
        <v>0</v>
      </c>
      <c r="J91" s="478"/>
    </row>
    <row r="92" spans="1:11" ht="18" customHeight="1" thickBot="1">
      <c r="A92" s="494"/>
      <c r="B92" s="495" t="str">
        <f>IF(H92=0,"TAX  PAYABLE / REFUND ",IF(H92&lt;0,"REFUND","TAX  PAYABLE"))</f>
        <v>REFUND</v>
      </c>
      <c r="C92" s="496"/>
      <c r="D92" s="496"/>
      <c r="E92" s="497"/>
      <c r="F92" s="498" t="s">
        <v>776</v>
      </c>
      <c r="G92" s="497"/>
      <c r="H92" s="499">
        <f>ROUND((H86-H91)/10,0)*10</f>
        <v>-288830</v>
      </c>
      <c r="I92" s="542">
        <f>IF(H92&lt;&gt;0,0,"NIL")</f>
        <v>0</v>
      </c>
      <c r="J92" s="500"/>
    </row>
    <row r="93" spans="1:11">
      <c r="A93" s="567"/>
      <c r="B93" s="570"/>
      <c r="C93" s="570"/>
      <c r="D93" s="570"/>
      <c r="E93" s="570"/>
      <c r="F93" s="570"/>
      <c r="G93" s="570"/>
      <c r="H93" s="570"/>
      <c r="I93" s="568"/>
      <c r="J93" s="569"/>
      <c r="K93" s="554"/>
    </row>
    <row r="94" spans="1:11">
      <c r="A94" s="567"/>
      <c r="B94" s="554"/>
      <c r="C94" s="554"/>
      <c r="D94" s="554"/>
      <c r="E94" s="554"/>
      <c r="F94" s="554"/>
      <c r="G94" s="554"/>
      <c r="H94" s="554"/>
      <c r="I94" s="568"/>
      <c r="J94" s="569"/>
      <c r="K94" s="554"/>
    </row>
    <row r="95" spans="1:11">
      <c r="A95" s="567"/>
      <c r="B95" s="554"/>
      <c r="C95" s="554"/>
      <c r="D95" s="554"/>
      <c r="E95" s="554"/>
      <c r="F95" s="554"/>
      <c r="G95" s="554"/>
      <c r="H95" s="554"/>
      <c r="I95" s="568"/>
      <c r="J95" s="569"/>
      <c r="K95" s="554"/>
    </row>
    <row r="96" spans="1:11">
      <c r="A96" s="567"/>
      <c r="B96" s="554"/>
      <c r="C96" s="554"/>
      <c r="D96" s="554"/>
      <c r="E96" s="554"/>
      <c r="F96" s="554"/>
      <c r="G96" s="554"/>
      <c r="H96" s="554"/>
      <c r="I96" s="568"/>
      <c r="J96" s="569"/>
      <c r="K96" s="554"/>
    </row>
    <row r="97" spans="1:11">
      <c r="A97" s="567"/>
      <c r="B97" s="554"/>
      <c r="C97" s="554"/>
      <c r="D97" s="554"/>
      <c r="E97" s="554"/>
      <c r="F97" s="554"/>
      <c r="G97" s="554"/>
      <c r="H97" s="554"/>
      <c r="I97" s="568"/>
      <c r="J97" s="569"/>
      <c r="K97" s="554"/>
    </row>
    <row r="98" spans="1:11">
      <c r="A98" s="567"/>
      <c r="B98" s="554"/>
      <c r="C98" s="554"/>
      <c r="D98" s="554"/>
      <c r="E98" s="554"/>
      <c r="F98" s="554"/>
      <c r="G98" s="554"/>
      <c r="H98" s="554"/>
      <c r="I98" s="568"/>
      <c r="J98" s="569"/>
      <c r="K98" s="554"/>
    </row>
  </sheetData>
  <mergeCells count="6">
    <mergeCell ref="C91:F91"/>
    <mergeCell ref="A1:J1"/>
    <mergeCell ref="A2:J2"/>
    <mergeCell ref="C88:F88"/>
    <mergeCell ref="C89:F89"/>
    <mergeCell ref="C90:F90"/>
  </mergeCells>
  <conditionalFormatting sqref="F77">
    <cfRule type="expression" dxfId="4" priority="1" stopIfTrue="1">
      <formula>"""$E$55=0"""</formula>
    </cfRule>
  </conditionalFormatting>
  <dataValidations count="2">
    <dataValidation type="list" errorStyle="information" allowBlank="1" showInputMessage="1" showErrorMessage="1" sqref="D4:D8 F9">
      <formula1>"SALARY RECEIVED, PENSION RECEIVED"</formula1>
    </dataValidation>
    <dataValidation type="list" errorStyle="information" allowBlank="1" showInputMessage="1" showErrorMessage="1" sqref="C56">
      <formula1>"ICICI PRUDENTIAL PREM, BAJAJ ALLIANZ LIFE INSURANCE PREM., LIC  PREMIUM, ULIP PREMIUM"</formula1>
    </dataValidation>
  </dataValidations>
  <printOptions horizontalCentered="1" verticalCentered="1"/>
  <pageMargins left="0.39370078740157483" right="0.19685039370078741" top="0.19685039370078741" bottom="0.19685039370078741" header="0" footer="0"/>
  <pageSetup paperSize="9" scale="95" orientation="portrait" r:id="rId1"/>
  <headerFooter alignWithMargins="0"/>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105"/>
  <sheetViews>
    <sheetView showZeros="0"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9.42578125" style="416" customWidth="1"/>
    <col min="8" max="8" width="11.140625" style="416" customWidth="1"/>
    <col min="9" max="9" width="4.28515625" style="526" customWidth="1"/>
    <col min="10" max="10" width="1.85546875" style="476" customWidth="1"/>
    <col min="11" max="11" width="9.140625" style="416"/>
    <col min="12" max="12" width="11.5703125" style="416" customWidth="1"/>
    <col min="13" max="16384" width="9.140625" style="416"/>
  </cols>
  <sheetData>
    <row r="1" spans="1:10" s="413" customFormat="1" ht="18.75" customHeight="1">
      <c r="A1" s="1108" t="s">
        <v>1083</v>
      </c>
      <c r="B1" s="1109"/>
      <c r="C1" s="1109"/>
      <c r="D1" s="1109"/>
      <c r="E1" s="1109"/>
      <c r="F1" s="1109"/>
      <c r="G1" s="1109"/>
      <c r="H1" s="1109"/>
      <c r="I1" s="1109"/>
      <c r="J1" s="1110"/>
    </row>
    <row r="2" spans="1:10" ht="18" customHeight="1" thickBot="1">
      <c r="A2" s="1111" t="s">
        <v>562</v>
      </c>
      <c r="B2" s="1112"/>
      <c r="C2" s="1112"/>
      <c r="D2" s="1112"/>
      <c r="E2" s="1112"/>
      <c r="F2" s="1112"/>
      <c r="G2" s="1112"/>
      <c r="H2" s="1112"/>
      <c r="I2" s="1112"/>
      <c r="J2" s="1113"/>
    </row>
    <row r="3" spans="1:10" ht="20.100000000000001" customHeight="1">
      <c r="A3" s="417"/>
      <c r="B3" s="418" t="s">
        <v>994</v>
      </c>
      <c r="C3" s="419"/>
      <c r="D3" s="419"/>
      <c r="E3" s="419"/>
      <c r="F3" s="419"/>
      <c r="G3" s="419"/>
      <c r="H3" s="501" t="s">
        <v>1013</v>
      </c>
      <c r="I3" s="535"/>
      <c r="J3" s="470"/>
    </row>
    <row r="4" spans="1:10" ht="15" customHeight="1">
      <c r="A4" s="420"/>
      <c r="B4" s="421"/>
      <c r="C4" s="422" t="s">
        <v>1239</v>
      </c>
      <c r="D4" s="422"/>
      <c r="E4" s="415"/>
      <c r="F4" s="423"/>
      <c r="G4" s="411">
        <v>4600000</v>
      </c>
      <c r="H4" s="482"/>
      <c r="I4" s="536"/>
      <c r="J4" s="471"/>
    </row>
    <row r="5" spans="1:10" ht="15" customHeight="1">
      <c r="A5" s="420"/>
      <c r="B5" s="421"/>
      <c r="C5" s="408" t="s">
        <v>1241</v>
      </c>
      <c r="D5" s="422"/>
      <c r="E5" s="415"/>
      <c r="F5" s="423"/>
      <c r="G5" s="411">
        <f>40000-38000</f>
        <v>2000</v>
      </c>
      <c r="H5" s="482"/>
      <c r="I5" s="536"/>
      <c r="J5" s="471"/>
    </row>
    <row r="6" spans="1:10" ht="15" customHeight="1">
      <c r="A6" s="420"/>
      <c r="B6" s="421"/>
      <c r="C6" s="408" t="s">
        <v>1240</v>
      </c>
      <c r="D6" s="422"/>
      <c r="E6" s="415"/>
      <c r="F6" s="423"/>
      <c r="G6" s="411">
        <v>1100</v>
      </c>
      <c r="H6" s="482"/>
      <c r="I6" s="536"/>
      <c r="J6" s="471"/>
    </row>
    <row r="7" spans="1:10" ht="15" customHeight="1">
      <c r="A7" s="420"/>
      <c r="B7" s="421"/>
      <c r="C7" s="422" t="s">
        <v>1194</v>
      </c>
      <c r="D7" s="422"/>
      <c r="E7" s="415"/>
      <c r="F7" s="423"/>
      <c r="G7" s="411">
        <f>6000+18000</f>
        <v>24000</v>
      </c>
      <c r="H7" s="482"/>
      <c r="I7" s="536"/>
      <c r="J7" s="471"/>
    </row>
    <row r="8" spans="1:10" ht="15" customHeight="1">
      <c r="A8" s="420"/>
      <c r="B8" s="415"/>
      <c r="C8" s="422" t="s">
        <v>1175</v>
      </c>
      <c r="D8" s="415"/>
      <c r="E8" s="415"/>
      <c r="F8" s="415"/>
      <c r="G8" s="425">
        <v>2000</v>
      </c>
      <c r="H8" s="482">
        <f>SUM(G4:G8)</f>
        <v>4629100</v>
      </c>
      <c r="I8" s="537">
        <f>IF(H8&lt;&gt;0,0,"NIL")</f>
        <v>0</v>
      </c>
      <c r="J8" s="472"/>
    </row>
    <row r="9" spans="1:10" ht="15" customHeight="1">
      <c r="A9" s="420"/>
      <c r="B9" s="426" t="s">
        <v>995</v>
      </c>
      <c r="C9" s="415"/>
      <c r="D9" s="415"/>
      <c r="E9" s="525" t="s">
        <v>1014</v>
      </c>
      <c r="F9" s="423"/>
      <c r="G9" s="415"/>
      <c r="H9" s="482"/>
      <c r="I9" s="537"/>
      <c r="J9" s="472"/>
    </row>
    <row r="10" spans="1:10" ht="15" customHeight="1">
      <c r="A10" s="420"/>
      <c r="B10" s="426"/>
      <c r="C10" s="583" t="s">
        <v>1127</v>
      </c>
      <c r="D10" s="422"/>
      <c r="E10" s="672" t="s">
        <v>1184</v>
      </c>
      <c r="F10" s="679"/>
      <c r="G10" s="411">
        <v>1000000</v>
      </c>
      <c r="H10" s="482"/>
      <c r="I10" s="537"/>
      <c r="J10" s="472"/>
    </row>
    <row r="11" spans="1:10" ht="15" customHeight="1">
      <c r="A11" s="420"/>
      <c r="B11" s="426"/>
      <c r="C11" s="408" t="s">
        <v>1242</v>
      </c>
      <c r="D11" s="415"/>
      <c r="E11" s="408"/>
      <c r="F11" s="415"/>
      <c r="G11" s="479">
        <v>14700</v>
      </c>
      <c r="H11" s="482"/>
      <c r="I11" s="537"/>
      <c r="J11" s="472"/>
    </row>
    <row r="12" spans="1:10" ht="15" customHeight="1">
      <c r="A12" s="420"/>
      <c r="B12" s="426"/>
      <c r="C12" s="408"/>
      <c r="D12" s="415"/>
      <c r="E12" s="408"/>
      <c r="F12" s="415"/>
      <c r="G12" s="423">
        <f>IF((G10-G11)&lt;0,0,(G10-G11))</f>
        <v>985300</v>
      </c>
      <c r="H12" s="482"/>
      <c r="I12" s="537"/>
      <c r="J12" s="472"/>
    </row>
    <row r="13" spans="1:10" ht="15" customHeight="1">
      <c r="A13" s="420"/>
      <c r="B13" s="426"/>
      <c r="C13" s="590" t="s">
        <v>514</v>
      </c>
      <c r="D13" s="415"/>
      <c r="E13" s="408" t="s">
        <v>1093</v>
      </c>
      <c r="F13" s="415">
        <f>G12*0.3</f>
        <v>295590</v>
      </c>
      <c r="G13" s="423"/>
      <c r="H13" s="482"/>
      <c r="I13" s="537"/>
      <c r="J13" s="472"/>
    </row>
    <row r="14" spans="1:10" ht="15" customHeight="1">
      <c r="A14" s="420"/>
      <c r="B14" s="426"/>
      <c r="D14" s="415"/>
      <c r="E14" s="434" t="s">
        <v>1094</v>
      </c>
      <c r="F14" s="591">
        <v>210000</v>
      </c>
      <c r="G14" s="681">
        <f>F13+F14</f>
        <v>505590</v>
      </c>
      <c r="H14" s="482"/>
      <c r="I14" s="537"/>
      <c r="J14" s="472"/>
    </row>
    <row r="15" spans="1:10" ht="15" customHeight="1" thickBot="1">
      <c r="A15" s="420"/>
      <c r="B15" s="426"/>
      <c r="D15" s="415"/>
      <c r="E15" s="434"/>
      <c r="F15" s="423"/>
      <c r="G15" s="674">
        <f>G12-G14</f>
        <v>479710</v>
      </c>
      <c r="H15" s="484"/>
      <c r="I15" s="537"/>
      <c r="J15" s="472"/>
    </row>
    <row r="16" spans="1:10" ht="15" hidden="1" customHeight="1" thickTop="1">
      <c r="A16" s="420"/>
      <c r="B16" s="415"/>
      <c r="C16" s="583" t="s">
        <v>1164</v>
      </c>
      <c r="D16" s="422"/>
      <c r="E16" s="663" t="s">
        <v>1185</v>
      </c>
      <c r="F16" s="428"/>
      <c r="G16" s="411"/>
      <c r="H16" s="482"/>
      <c r="I16" s="537"/>
      <c r="J16" s="472"/>
    </row>
    <row r="17" spans="1:10" ht="15" hidden="1" customHeight="1">
      <c r="A17" s="420"/>
      <c r="B17" s="415"/>
      <c r="C17" s="408" t="s">
        <v>769</v>
      </c>
      <c r="D17" s="415"/>
      <c r="E17" s="408"/>
      <c r="F17" s="415"/>
      <c r="G17" s="479"/>
      <c r="H17" s="482"/>
      <c r="I17" s="537"/>
      <c r="J17" s="472"/>
    </row>
    <row r="18" spans="1:10" ht="15" hidden="1" customHeight="1">
      <c r="A18" s="420"/>
      <c r="B18" s="415"/>
      <c r="C18" s="408"/>
      <c r="D18" s="415"/>
      <c r="E18" s="408"/>
      <c r="F18" s="415"/>
      <c r="G18" s="423">
        <f>IF((G16-G17)&lt;0,0,(G16-G17))</f>
        <v>0</v>
      </c>
      <c r="H18" s="482"/>
      <c r="I18" s="537"/>
      <c r="J18" s="472"/>
    </row>
    <row r="19" spans="1:10" ht="15" hidden="1" customHeight="1">
      <c r="A19" s="420"/>
      <c r="B19" s="415"/>
      <c r="C19" s="590" t="s">
        <v>514</v>
      </c>
      <c r="D19" s="415"/>
      <c r="E19" s="408" t="s">
        <v>1093</v>
      </c>
      <c r="F19" s="415">
        <f>G18*0.3</f>
        <v>0</v>
      </c>
      <c r="G19" s="423"/>
      <c r="H19" s="482"/>
      <c r="I19" s="537"/>
      <c r="J19" s="472"/>
    </row>
    <row r="20" spans="1:10" ht="15" hidden="1" customHeight="1">
      <c r="A20" s="420"/>
      <c r="B20" s="415"/>
      <c r="C20" s="590"/>
      <c r="D20" s="415"/>
      <c r="E20" s="434" t="s">
        <v>1094</v>
      </c>
      <c r="F20" s="673"/>
      <c r="G20" s="681"/>
      <c r="H20" s="482"/>
      <c r="I20" s="537"/>
      <c r="J20" s="472"/>
    </row>
    <row r="21" spans="1:10" ht="15" hidden="1" customHeight="1" thickBot="1">
      <c r="A21" s="420"/>
      <c r="B21" s="415"/>
      <c r="D21" s="415"/>
      <c r="G21" s="693">
        <f>0-G20</f>
        <v>0</v>
      </c>
      <c r="H21" s="484"/>
      <c r="I21" s="537">
        <f>IF(H25&lt;&gt;0,0,"NIL")</f>
        <v>0</v>
      </c>
      <c r="J21" s="472"/>
    </row>
    <row r="22" spans="1:10" ht="15" hidden="1" customHeight="1">
      <c r="A22" s="420"/>
      <c r="B22" s="421" t="s">
        <v>996</v>
      </c>
      <c r="C22" s="408"/>
      <c r="D22" s="415"/>
      <c r="E22" s="429"/>
      <c r="F22" s="423"/>
      <c r="G22" s="415"/>
      <c r="H22" s="482"/>
      <c r="I22" s="537"/>
      <c r="J22" s="472"/>
    </row>
    <row r="23" spans="1:10" ht="15" hidden="1" customHeight="1">
      <c r="A23" s="420"/>
      <c r="B23" s="415"/>
      <c r="C23" s="408" t="s">
        <v>991</v>
      </c>
      <c r="D23" s="415"/>
      <c r="E23" s="429"/>
      <c r="F23" s="423"/>
      <c r="G23" s="411"/>
      <c r="H23" s="482"/>
      <c r="I23" s="537"/>
      <c r="J23" s="472"/>
    </row>
    <row r="24" spans="1:10" ht="15" hidden="1" customHeight="1">
      <c r="A24" s="420"/>
      <c r="B24" s="415"/>
      <c r="C24" s="408" t="s">
        <v>992</v>
      </c>
      <c r="D24" s="415"/>
      <c r="E24" s="429"/>
      <c r="F24" s="423"/>
      <c r="G24" s="479"/>
      <c r="H24" s="483">
        <f>G23-G24</f>
        <v>0</v>
      </c>
      <c r="I24" s="537" t="str">
        <f>IF(H24&lt;&gt;0,0,"NIL")</f>
        <v>NIL</v>
      </c>
      <c r="J24" s="472"/>
    </row>
    <row r="25" spans="1:10" ht="17.25" customHeight="1" thickTop="1">
      <c r="A25" s="420"/>
      <c r="B25" s="415"/>
      <c r="C25" s="408" t="s">
        <v>1238</v>
      </c>
      <c r="E25" s="429"/>
      <c r="F25" s="423"/>
      <c r="G25" s="694">
        <v>6300</v>
      </c>
      <c r="H25" s="482">
        <f>G15+G25</f>
        <v>486010</v>
      </c>
      <c r="I25" s="537"/>
      <c r="J25" s="472"/>
    </row>
    <row r="26" spans="1:10" ht="15" customHeight="1">
      <c r="A26" s="420"/>
      <c r="B26" s="421" t="s">
        <v>997</v>
      </c>
      <c r="C26" s="415"/>
      <c r="D26" s="415"/>
      <c r="E26" s="415"/>
      <c r="F26" s="415"/>
      <c r="G26" s="415"/>
      <c r="H26" s="482"/>
      <c r="I26" s="537"/>
      <c r="J26" s="472"/>
    </row>
    <row r="27" spans="1:10">
      <c r="A27" s="420"/>
      <c r="B27" s="415"/>
      <c r="C27" s="408" t="s">
        <v>498</v>
      </c>
      <c r="D27" s="415"/>
      <c r="E27" s="415"/>
      <c r="F27" s="415"/>
      <c r="G27" s="411"/>
      <c r="H27" s="482"/>
      <c r="I27" s="537"/>
      <c r="J27" s="472"/>
    </row>
    <row r="28" spans="1:10">
      <c r="A28" s="420"/>
      <c r="B28" s="415"/>
      <c r="C28" s="680" t="s">
        <v>77</v>
      </c>
      <c r="D28" s="415"/>
      <c r="E28" s="415"/>
      <c r="F28" s="415"/>
      <c r="G28" s="411"/>
      <c r="H28" s="482"/>
      <c r="I28" s="537"/>
      <c r="J28" s="472"/>
    </row>
    <row r="29" spans="1:10">
      <c r="A29" s="420"/>
      <c r="B29" s="415"/>
      <c r="C29" s="408"/>
      <c r="D29" s="415" t="s">
        <v>1195</v>
      </c>
      <c r="F29" s="408">
        <v>9200000</v>
      </c>
      <c r="G29" s="411"/>
      <c r="H29" s="482"/>
      <c r="I29" s="537"/>
      <c r="J29" s="472"/>
    </row>
    <row r="30" spans="1:10">
      <c r="A30" s="420"/>
      <c r="B30" s="415"/>
      <c r="C30" s="408"/>
      <c r="D30" s="415" t="s">
        <v>1196</v>
      </c>
      <c r="F30" s="408">
        <f>90000*-1</f>
        <v>-90000</v>
      </c>
      <c r="G30" s="411"/>
      <c r="H30" s="482"/>
      <c r="I30" s="537"/>
      <c r="J30" s="472"/>
    </row>
    <row r="31" spans="1:10">
      <c r="A31" s="420"/>
      <c r="B31" s="695" t="s">
        <v>1233</v>
      </c>
      <c r="C31" s="408" t="s">
        <v>1232</v>
      </c>
      <c r="D31" s="415" t="s">
        <v>1197</v>
      </c>
      <c r="E31" s="415">
        <f>ROUND(115000*1081/463,0)</f>
        <v>268499</v>
      </c>
      <c r="F31" s="682">
        <f>E31*-1</f>
        <v>-268499</v>
      </c>
      <c r="G31" s="411"/>
      <c r="H31" s="482"/>
      <c r="I31" s="537"/>
      <c r="J31" s="472"/>
    </row>
    <row r="32" spans="1:10">
      <c r="A32" s="420"/>
      <c r="B32" s="695" t="s">
        <v>1234</v>
      </c>
      <c r="C32" s="408" t="s">
        <v>1235</v>
      </c>
      <c r="D32" s="415" t="s">
        <v>1198</v>
      </c>
      <c r="E32" s="415">
        <f>ROUND(12000*1081/519,0)</f>
        <v>24994</v>
      </c>
      <c r="F32" s="683">
        <f>E32*-1</f>
        <v>-24994</v>
      </c>
      <c r="G32" s="411"/>
      <c r="H32" s="482"/>
      <c r="I32" s="537"/>
      <c r="J32" s="472"/>
    </row>
    <row r="33" spans="1:10">
      <c r="A33" s="420"/>
      <c r="B33" s="415"/>
      <c r="C33" s="408"/>
      <c r="D33" s="415"/>
      <c r="E33" s="415" t="s">
        <v>1199</v>
      </c>
      <c r="F33" s="682">
        <f>SUM(F29:F32)</f>
        <v>8816507</v>
      </c>
      <c r="G33" s="411"/>
      <c r="H33" s="482"/>
      <c r="I33" s="537"/>
      <c r="J33" s="472"/>
    </row>
    <row r="34" spans="1:10">
      <c r="A34" s="420"/>
      <c r="B34" s="415"/>
      <c r="C34" s="408"/>
      <c r="D34" s="415"/>
      <c r="E34" s="427" t="s">
        <v>1231</v>
      </c>
      <c r="F34" s="683">
        <f>1000000*-1</f>
        <v>-1000000</v>
      </c>
      <c r="G34" s="411"/>
      <c r="H34" s="482"/>
      <c r="I34" s="537"/>
      <c r="J34" s="472"/>
    </row>
    <row r="35" spans="1:10">
      <c r="A35" s="420"/>
      <c r="B35" s="415"/>
      <c r="C35" s="408"/>
      <c r="D35" s="415"/>
      <c r="G35" s="411">
        <f>F33+F34</f>
        <v>7816507</v>
      </c>
      <c r="H35" s="482"/>
      <c r="I35" s="537"/>
      <c r="J35" s="472"/>
    </row>
    <row r="36" spans="1:10">
      <c r="A36" s="420"/>
      <c r="B36" s="415"/>
      <c r="E36" s="416" t="s">
        <v>1230</v>
      </c>
      <c r="G36" s="523">
        <f>300000*-1</f>
        <v>-300000</v>
      </c>
      <c r="H36" s="482">
        <f>G35+G36</f>
        <v>7516507</v>
      </c>
      <c r="I36" s="537">
        <f>IF(H36&lt;&gt;0,0,"NIL")</f>
        <v>0</v>
      </c>
      <c r="J36" s="472"/>
    </row>
    <row r="37" spans="1:10" ht="20.100000000000001" customHeight="1">
      <c r="A37" s="420"/>
      <c r="B37" s="421" t="s">
        <v>998</v>
      </c>
      <c r="C37" s="415"/>
      <c r="D37" s="415"/>
      <c r="E37" s="415"/>
      <c r="F37" s="415"/>
      <c r="G37" s="415"/>
      <c r="H37" s="482"/>
      <c r="I37" s="536"/>
      <c r="J37" s="471"/>
    </row>
    <row r="38" spans="1:10" ht="13.5">
      <c r="A38" s="420"/>
      <c r="B38" s="636"/>
      <c r="C38" s="431"/>
      <c r="D38" s="431"/>
      <c r="E38" s="431"/>
      <c r="F38" s="415"/>
      <c r="G38" s="677"/>
      <c r="H38" s="482"/>
      <c r="I38" s="536"/>
      <c r="J38" s="471"/>
    </row>
    <row r="39" spans="1:10" ht="13.5">
      <c r="A39" s="420"/>
      <c r="B39" s="636"/>
      <c r="C39" s="431" t="s">
        <v>1200</v>
      </c>
      <c r="D39" s="431"/>
      <c r="E39" s="431" t="s">
        <v>1167</v>
      </c>
      <c r="F39" s="415"/>
      <c r="G39" s="411">
        <v>200000</v>
      </c>
      <c r="H39" s="482"/>
      <c r="I39" s="536"/>
      <c r="J39" s="471"/>
    </row>
    <row r="40" spans="1:10" ht="13.5">
      <c r="A40" s="420"/>
      <c r="B40" s="636"/>
      <c r="C40" s="431" t="s">
        <v>1201</v>
      </c>
      <c r="D40" s="431"/>
      <c r="E40" s="431"/>
      <c r="F40" s="408"/>
      <c r="G40" s="411">
        <v>51000</v>
      </c>
      <c r="H40" s="482"/>
      <c r="I40" s="536"/>
      <c r="J40" s="471"/>
    </row>
    <row r="41" spans="1:10" ht="15" customHeight="1">
      <c r="A41" s="420"/>
      <c r="B41" s="589"/>
      <c r="C41" s="431"/>
      <c r="D41" s="434"/>
      <c r="E41" s="433"/>
      <c r="F41" s="433"/>
      <c r="G41" s="480">
        <f>SUM(G38:G40)</f>
        <v>251000</v>
      </c>
      <c r="H41" s="482"/>
      <c r="I41" s="536"/>
      <c r="J41" s="471"/>
    </row>
    <row r="42" spans="1:10" ht="15" hidden="1" customHeight="1">
      <c r="A42" s="420"/>
      <c r="B42" s="589"/>
      <c r="C42" s="435" t="s">
        <v>512</v>
      </c>
      <c r="D42" s="436"/>
      <c r="E42" s="436"/>
      <c r="F42" s="436"/>
      <c r="G42" s="437"/>
      <c r="H42" s="482"/>
      <c r="I42" s="536"/>
      <c r="J42" s="471"/>
    </row>
    <row r="43" spans="1:10" ht="15" hidden="1" customHeight="1">
      <c r="A43" s="420"/>
      <c r="B43" s="589"/>
      <c r="G43" s="410"/>
      <c r="H43" s="482"/>
      <c r="I43" s="536"/>
      <c r="J43" s="471"/>
    </row>
    <row r="44" spans="1:10" ht="15" hidden="1" customHeight="1">
      <c r="A44" s="420"/>
      <c r="B44" s="589"/>
      <c r="G44" s="410"/>
      <c r="H44" s="482"/>
      <c r="I44" s="536"/>
      <c r="J44" s="471"/>
    </row>
    <row r="45" spans="1:10" ht="15" hidden="1" customHeight="1">
      <c r="A45" s="420"/>
      <c r="B45" s="589"/>
      <c r="C45" s="436" t="s">
        <v>846</v>
      </c>
      <c r="D45" s="436"/>
      <c r="E45" s="415"/>
      <c r="F45" s="438"/>
      <c r="G45" s="437"/>
      <c r="H45" s="482"/>
      <c r="I45" s="536"/>
      <c r="J45" s="471"/>
    </row>
    <row r="46" spans="1:10" ht="15" hidden="1" customHeight="1">
      <c r="A46" s="420"/>
      <c r="B46" s="589"/>
      <c r="C46" s="432" t="s">
        <v>847</v>
      </c>
      <c r="D46" s="415"/>
      <c r="E46" s="415"/>
      <c r="F46" s="461">
        <f>ROUND(IF(F45/3&gt;15000,15000,F45/3),0)</f>
        <v>0</v>
      </c>
      <c r="G46" s="447">
        <f>F45-F46</f>
        <v>0</v>
      </c>
      <c r="H46" s="482"/>
      <c r="I46" s="536"/>
      <c r="J46" s="471"/>
    </row>
    <row r="47" spans="1:10" ht="15" hidden="1" customHeight="1">
      <c r="A47" s="420"/>
      <c r="B47" s="589"/>
      <c r="C47" s="415"/>
      <c r="D47" s="415"/>
      <c r="E47" s="415"/>
      <c r="F47" s="415"/>
      <c r="G47" s="480">
        <f>SUM(G43:G46)</f>
        <v>0</v>
      </c>
      <c r="H47" s="484"/>
      <c r="J47" s="472"/>
    </row>
    <row r="48" spans="1:10" ht="15" customHeight="1">
      <c r="A48" s="420"/>
      <c r="B48" s="589"/>
      <c r="C48" s="415"/>
      <c r="D48" s="415"/>
      <c r="E48" s="415"/>
      <c r="F48" s="415"/>
      <c r="G48" s="437"/>
      <c r="H48" s="482">
        <f>+G41</f>
        <v>251000</v>
      </c>
      <c r="I48" s="537">
        <f>IF(H48&lt;&gt;0,0,"NIL")</f>
        <v>0</v>
      </c>
      <c r="J48" s="472"/>
    </row>
    <row r="49" spans="1:10" ht="15" hidden="1" customHeight="1">
      <c r="A49" s="420"/>
      <c r="B49" s="589"/>
      <c r="C49" s="439" t="s">
        <v>564</v>
      </c>
      <c r="D49" s="436"/>
      <c r="E49" s="436"/>
      <c r="F49" s="440"/>
      <c r="G49" s="437"/>
      <c r="H49" s="484"/>
      <c r="J49" s="472"/>
    </row>
    <row r="50" spans="1:10" ht="12.75" hidden="1" customHeight="1">
      <c r="A50" s="420"/>
      <c r="B50" s="421"/>
      <c r="C50" s="409" t="s">
        <v>851</v>
      </c>
      <c r="D50" s="436"/>
      <c r="E50" s="441"/>
      <c r="F50" s="442"/>
      <c r="G50" s="430"/>
      <c r="H50" s="482"/>
      <c r="I50" s="536"/>
      <c r="J50" s="471"/>
    </row>
    <row r="51" spans="1:10" ht="12.75" hidden="1" customHeight="1">
      <c r="A51" s="420"/>
      <c r="B51" s="421"/>
      <c r="C51" s="409" t="s">
        <v>981</v>
      </c>
      <c r="D51" s="436"/>
      <c r="E51" s="441"/>
      <c r="F51" s="442"/>
      <c r="G51" s="430"/>
      <c r="H51" s="482"/>
      <c r="I51" s="536"/>
      <c r="J51" s="471"/>
    </row>
    <row r="52" spans="1:10" ht="12.75" hidden="1" customHeight="1">
      <c r="A52" s="420"/>
      <c r="B52" s="421"/>
      <c r="C52" s="409" t="s">
        <v>982</v>
      </c>
      <c r="D52" s="436"/>
      <c r="E52" s="441"/>
      <c r="F52" s="442"/>
      <c r="G52" s="430"/>
      <c r="H52" s="482"/>
      <c r="I52" s="536"/>
      <c r="J52" s="471"/>
    </row>
    <row r="53" spans="1:10" ht="12.75" hidden="1" customHeight="1">
      <c r="A53" s="420"/>
      <c r="B53" s="421"/>
      <c r="C53" s="409" t="s">
        <v>983</v>
      </c>
      <c r="D53" s="436"/>
      <c r="E53" s="415"/>
      <c r="F53" s="442"/>
      <c r="G53" s="430"/>
      <c r="H53" s="482"/>
      <c r="I53" s="536"/>
      <c r="J53" s="471"/>
    </row>
    <row r="54" spans="1:10" ht="12.75" hidden="1" customHeight="1" thickBot="1">
      <c r="A54" s="420"/>
      <c r="B54" s="428"/>
      <c r="C54" s="435"/>
      <c r="D54" s="436"/>
      <c r="E54" s="415"/>
      <c r="F54" s="443">
        <f>SUM(F50:F53)</f>
        <v>0</v>
      </c>
      <c r="G54" s="437"/>
      <c r="H54" s="484"/>
      <c r="J54" s="471"/>
    </row>
    <row r="55" spans="1:10" ht="12.75" customHeight="1">
      <c r="A55" s="420"/>
      <c r="B55" s="428"/>
      <c r="C55" s="435"/>
      <c r="D55" s="436"/>
      <c r="E55" s="415"/>
      <c r="F55" s="444"/>
      <c r="G55" s="437"/>
      <c r="H55" s="484"/>
      <c r="I55" s="538"/>
      <c r="J55" s="534"/>
    </row>
    <row r="56" spans="1:10" ht="15" customHeight="1">
      <c r="A56" s="420"/>
      <c r="B56" s="421" t="s">
        <v>501</v>
      </c>
      <c r="C56" s="415"/>
      <c r="D56" s="415"/>
      <c r="E56" s="428"/>
      <c r="F56" s="428"/>
      <c r="G56" s="424"/>
      <c r="H56" s="485">
        <f>SUM(H8:H54)</f>
        <v>12882617</v>
      </c>
      <c r="I56" s="537">
        <f>IF(H56&lt;&gt;0,0,"NIL")</f>
        <v>0</v>
      </c>
      <c r="J56" s="472"/>
    </row>
    <row r="57" spans="1:10" ht="15" customHeight="1">
      <c r="A57" s="420"/>
      <c r="B57" s="445" t="s">
        <v>999</v>
      </c>
      <c r="C57" s="415"/>
      <c r="D57" s="415"/>
      <c r="E57" s="415"/>
      <c r="F57" s="415"/>
      <c r="G57" s="415"/>
      <c r="H57" s="482"/>
      <c r="I57" s="536"/>
      <c r="J57" s="471"/>
    </row>
    <row r="58" spans="1:10" ht="12.75" customHeight="1">
      <c r="A58" s="420"/>
      <c r="B58" s="446"/>
      <c r="C58" s="435" t="s">
        <v>1080</v>
      </c>
      <c r="D58" s="415"/>
      <c r="E58" s="415"/>
      <c r="F58" s="415"/>
      <c r="G58" s="423"/>
      <c r="H58" s="482"/>
      <c r="I58" s="536"/>
      <c r="J58" s="471"/>
    </row>
    <row r="59" spans="1:10" ht="12.75" hidden="1" customHeight="1">
      <c r="A59" s="420"/>
      <c r="B59" s="446"/>
      <c r="C59" s="431" t="s">
        <v>510</v>
      </c>
      <c r="D59" s="415"/>
      <c r="E59" s="415"/>
      <c r="F59" s="411"/>
      <c r="G59" s="423"/>
      <c r="H59" s="482"/>
      <c r="I59" s="536"/>
      <c r="J59" s="471"/>
    </row>
    <row r="60" spans="1:10" ht="12.75" hidden="1" customHeight="1">
      <c r="A60" s="420"/>
      <c r="B60" s="446"/>
      <c r="C60" s="431" t="s">
        <v>1081</v>
      </c>
      <c r="D60" s="415"/>
      <c r="E60" s="415"/>
      <c r="F60" s="411"/>
      <c r="G60" s="423"/>
      <c r="H60" s="482"/>
      <c r="I60" s="536"/>
      <c r="J60" s="471"/>
    </row>
    <row r="61" spans="1:10" ht="12.75" hidden="1" customHeight="1">
      <c r="A61" s="420"/>
      <c r="B61" s="446"/>
      <c r="C61" s="431" t="s">
        <v>985</v>
      </c>
      <c r="D61" s="415"/>
      <c r="E61" s="415"/>
      <c r="F61" s="411"/>
      <c r="G61" s="423"/>
      <c r="H61" s="482"/>
      <c r="I61" s="536"/>
      <c r="J61" s="471"/>
    </row>
    <row r="62" spans="1:10" ht="12.75" hidden="1" customHeight="1">
      <c r="A62" s="420"/>
      <c r="B62" s="446"/>
      <c r="C62" s="431" t="s">
        <v>984</v>
      </c>
      <c r="D62" s="415"/>
      <c r="E62" s="415"/>
      <c r="F62" s="411"/>
      <c r="G62" s="423"/>
      <c r="H62" s="482"/>
      <c r="I62" s="536"/>
      <c r="J62" s="471"/>
    </row>
    <row r="63" spans="1:10" ht="12.75" customHeight="1">
      <c r="A63" s="420"/>
      <c r="B63" s="446"/>
      <c r="C63" s="431" t="s">
        <v>1177</v>
      </c>
      <c r="D63" s="415"/>
      <c r="E63" s="415"/>
      <c r="F63" s="411">
        <v>130000</v>
      </c>
      <c r="G63" s="423"/>
      <c r="H63" s="482"/>
      <c r="I63" s="536"/>
      <c r="J63" s="471"/>
    </row>
    <row r="64" spans="1:10" ht="12.75" customHeight="1">
      <c r="A64" s="420"/>
      <c r="B64" s="446"/>
      <c r="C64" s="431" t="s">
        <v>1149</v>
      </c>
      <c r="D64" s="415"/>
      <c r="E64" s="415"/>
      <c r="F64" s="411">
        <v>10000</v>
      </c>
      <c r="G64" s="423"/>
      <c r="H64" s="482"/>
      <c r="I64" s="536"/>
      <c r="J64" s="471"/>
    </row>
    <row r="65" spans="1:13" ht="12.75" customHeight="1">
      <c r="A65" s="420"/>
      <c r="B65" s="446"/>
      <c r="C65" s="431" t="s">
        <v>509</v>
      </c>
      <c r="D65" s="415"/>
      <c r="E65" s="415"/>
      <c r="F65" s="411">
        <v>10000</v>
      </c>
      <c r="G65" s="423"/>
      <c r="H65" s="482"/>
      <c r="I65" s="536"/>
      <c r="J65" s="471"/>
    </row>
    <row r="66" spans="1:13" ht="12.75" hidden="1" customHeight="1">
      <c r="A66" s="420"/>
      <c r="B66" s="446"/>
      <c r="C66" s="431" t="s">
        <v>986</v>
      </c>
      <c r="D66" s="415"/>
      <c r="E66" s="415"/>
      <c r="F66" s="411"/>
      <c r="G66" s="423"/>
      <c r="H66" s="482"/>
      <c r="I66" s="536"/>
      <c r="J66" s="471"/>
    </row>
    <row r="67" spans="1:13" ht="12.75" hidden="1" customHeight="1">
      <c r="A67" s="420"/>
      <c r="B67" s="446"/>
      <c r="C67" s="431" t="s">
        <v>987</v>
      </c>
      <c r="D67" s="415"/>
      <c r="E67" s="415"/>
      <c r="F67" s="411"/>
      <c r="G67" s="423"/>
      <c r="H67" s="482"/>
      <c r="I67" s="536"/>
      <c r="J67" s="471"/>
    </row>
    <row r="68" spans="1:13" ht="12.75" hidden="1" customHeight="1">
      <c r="A68" s="420"/>
      <c r="B68" s="446"/>
      <c r="C68" s="431" t="s">
        <v>988</v>
      </c>
      <c r="D68" s="415"/>
      <c r="E68" s="415"/>
      <c r="F68" s="411"/>
      <c r="G68" s="423"/>
      <c r="H68" s="482"/>
      <c r="I68" s="536"/>
      <c r="J68" s="471"/>
    </row>
    <row r="69" spans="1:13" ht="12.75" hidden="1" customHeight="1">
      <c r="A69" s="420"/>
      <c r="B69" s="446"/>
      <c r="C69" s="431" t="s">
        <v>989</v>
      </c>
      <c r="D69" s="415"/>
      <c r="E69" s="415"/>
      <c r="F69" s="411"/>
      <c r="G69" s="423"/>
      <c r="H69" s="482"/>
      <c r="I69" s="536"/>
      <c r="J69" s="471"/>
    </row>
    <row r="70" spans="1:13" ht="12.75" customHeight="1">
      <c r="A70" s="420"/>
      <c r="B70" s="446"/>
      <c r="C70" s="431" t="s">
        <v>986</v>
      </c>
      <c r="D70" s="415"/>
      <c r="E70" s="415"/>
      <c r="F70" s="411">
        <v>40000</v>
      </c>
      <c r="G70" s="423"/>
      <c r="H70" s="482"/>
      <c r="I70" s="536"/>
      <c r="J70" s="471"/>
    </row>
    <row r="71" spans="1:13" ht="15" customHeight="1">
      <c r="A71" s="420"/>
      <c r="B71" s="446"/>
      <c r="C71" s="431"/>
      <c r="D71" s="415"/>
      <c r="E71" s="415"/>
      <c r="F71" s="448">
        <f>SUM(F63:F70)</f>
        <v>190000</v>
      </c>
      <c r="G71" s="415">
        <f>IF(F71&gt;150000,150000,F71)</f>
        <v>150000</v>
      </c>
      <c r="H71" s="482"/>
      <c r="I71" s="536"/>
      <c r="J71" s="471"/>
    </row>
    <row r="72" spans="1:13" ht="15" customHeight="1">
      <c r="A72" s="420"/>
      <c r="B72" s="446"/>
      <c r="C72" s="449" t="s">
        <v>1079</v>
      </c>
      <c r="D72" s="415"/>
      <c r="E72" s="415"/>
      <c r="F72" s="450"/>
      <c r="G72" s="411">
        <v>50000</v>
      </c>
      <c r="H72" s="482"/>
      <c r="I72" s="536"/>
      <c r="J72" s="471"/>
    </row>
    <row r="73" spans="1:13" ht="15" hidden="1" customHeight="1">
      <c r="A73" s="420"/>
      <c r="B73" s="446"/>
      <c r="C73" s="449" t="s">
        <v>1078</v>
      </c>
      <c r="D73" s="415"/>
      <c r="E73" s="415"/>
      <c r="F73" s="450"/>
      <c r="G73" s="411"/>
      <c r="H73" s="482"/>
      <c r="I73" s="536"/>
      <c r="J73" s="471"/>
    </row>
    <row r="74" spans="1:13" ht="15" hidden="1" customHeight="1">
      <c r="A74" s="420"/>
      <c r="B74" s="446"/>
      <c r="C74" s="449" t="s">
        <v>852</v>
      </c>
      <c r="D74" s="415"/>
      <c r="E74" s="415"/>
      <c r="F74" s="450"/>
      <c r="G74" s="411"/>
      <c r="H74" s="482"/>
      <c r="I74" s="536"/>
      <c r="J74" s="471"/>
    </row>
    <row r="75" spans="1:13" ht="15" hidden="1" customHeight="1">
      <c r="A75" s="420"/>
      <c r="B75" s="446"/>
      <c r="C75" s="449" t="s">
        <v>611</v>
      </c>
      <c r="D75" s="415"/>
      <c r="E75" s="415"/>
      <c r="F75" s="415"/>
      <c r="G75" s="411"/>
      <c r="H75" s="482"/>
      <c r="I75" s="536"/>
      <c r="J75" s="471"/>
    </row>
    <row r="76" spans="1:13" ht="15" hidden="1" customHeight="1">
      <c r="A76" s="420"/>
      <c r="B76" s="415"/>
      <c r="C76" s="676"/>
      <c r="D76" s="415"/>
      <c r="E76" s="428"/>
      <c r="F76" s="428"/>
      <c r="G76" s="447">
        <f>IF(G38&gt;10000, 10000, G38)</f>
        <v>0</v>
      </c>
      <c r="H76" s="482"/>
      <c r="I76" s="536"/>
      <c r="J76" s="471"/>
      <c r="L76" s="675"/>
    </row>
    <row r="77" spans="1:13">
      <c r="A77" s="420"/>
      <c r="B77" s="415"/>
      <c r="C77" s="543" t="s">
        <v>853</v>
      </c>
      <c r="D77" s="415"/>
      <c r="E77" s="428"/>
      <c r="F77" s="428"/>
      <c r="G77" s="411"/>
      <c r="H77" s="482">
        <f>SUM(G71:G77)</f>
        <v>200000</v>
      </c>
      <c r="I77" s="537">
        <f>IF(H77&lt;&gt;0,0,"NIL")</f>
        <v>0</v>
      </c>
      <c r="J77" s="472"/>
    </row>
    <row r="78" spans="1:13" ht="15.75" customHeight="1" thickBot="1">
      <c r="A78" s="420"/>
      <c r="B78" s="451" t="s">
        <v>777</v>
      </c>
      <c r="C78" s="415"/>
      <c r="D78" s="415"/>
      <c r="E78" s="452">
        <f>IF((H56-H77)&lt;0,0,(H56-H77))</f>
        <v>12682617</v>
      </c>
      <c r="F78" s="453" t="s">
        <v>779</v>
      </c>
      <c r="G78" s="440"/>
      <c r="H78" s="486">
        <f>ROUND((E78/10),0)*10</f>
        <v>12682620</v>
      </c>
      <c r="I78" s="539">
        <f>IF(H78&lt;&gt;0,0,"NIL")</f>
        <v>0</v>
      </c>
      <c r="J78" s="475"/>
      <c r="M78" s="685"/>
    </row>
    <row r="79" spans="1:13" ht="15" customHeight="1" thickTop="1">
      <c r="A79" s="420"/>
      <c r="B79" s="450" t="s">
        <v>778</v>
      </c>
      <c r="C79" s="415"/>
      <c r="D79" s="415"/>
      <c r="E79" s="444" t="s">
        <v>521</v>
      </c>
      <c r="F79" s="454" t="s">
        <v>522</v>
      </c>
      <c r="G79" s="444" t="s">
        <v>524</v>
      </c>
      <c r="H79" s="487"/>
      <c r="J79" s="471"/>
    </row>
    <row r="80" spans="1:13" ht="15" customHeight="1">
      <c r="A80" s="420"/>
      <c r="B80" s="530"/>
      <c r="C80" s="408" t="s">
        <v>518</v>
      </c>
      <c r="D80" s="415"/>
      <c r="E80" s="455">
        <f>E78-E83</f>
        <v>5166110</v>
      </c>
      <c r="F80" s="456"/>
      <c r="G80" s="415">
        <f>IF(+Data!D2="Senior",ROUND(IF(E80&gt;1000000,(((E80-1000000)*0.3)+120000),IF(E80&gt;500000,(((E80-500000)*0.2)+20000),IF(E80&gt;300000,((E80-300000)*0.1),0))),0),ROUND(IF(E80&gt;1000000,(((E80-1000000)*0.3)+125000),IF(E80&gt;500000,(((E80-500000)*0.2)+25000),IF(E80&gt;250000,((E80-250000)*0.1),0))),0))</f>
        <v>1374833</v>
      </c>
      <c r="H80" s="487"/>
      <c r="J80" s="471"/>
    </row>
    <row r="81" spans="1:10" ht="15" hidden="1" customHeight="1">
      <c r="A81" s="420"/>
      <c r="B81" s="450"/>
      <c r="C81" s="408" t="s">
        <v>518</v>
      </c>
      <c r="D81" s="415"/>
      <c r="E81" s="410"/>
      <c r="F81" s="457">
        <v>0.15</v>
      </c>
      <c r="G81" s="523"/>
      <c r="H81" s="484"/>
      <c r="J81" s="471"/>
    </row>
    <row r="82" spans="1:10" ht="15" hidden="1" customHeight="1">
      <c r="A82" s="420"/>
      <c r="B82" s="415"/>
      <c r="C82" s="408" t="s">
        <v>518</v>
      </c>
      <c r="D82" s="456"/>
      <c r="E82" s="428"/>
      <c r="F82" s="415"/>
      <c r="G82" s="526">
        <f>G80+G81</f>
        <v>1374833</v>
      </c>
      <c r="H82" s="488"/>
      <c r="I82" s="537"/>
      <c r="J82" s="472"/>
    </row>
    <row r="83" spans="1:10" ht="15" customHeight="1">
      <c r="A83" s="420"/>
      <c r="B83" s="415"/>
      <c r="C83" s="408" t="s">
        <v>519</v>
      </c>
      <c r="D83" s="456"/>
      <c r="E83" s="684">
        <f>+H36</f>
        <v>7516507</v>
      </c>
      <c r="F83" s="678">
        <v>0.2</v>
      </c>
      <c r="G83" s="526">
        <f>ROUND(E83*F83,0)</f>
        <v>1503301</v>
      </c>
      <c r="H83" s="488"/>
      <c r="I83" s="537"/>
      <c r="J83" s="472"/>
    </row>
    <row r="84" spans="1:10" ht="15" customHeight="1">
      <c r="A84" s="420"/>
      <c r="C84" s="524" t="s">
        <v>1015</v>
      </c>
      <c r="D84" s="456"/>
      <c r="E84" s="428"/>
      <c r="F84" s="415"/>
      <c r="G84" s="527">
        <f>IF(H78&gt;500000,0,IF(G82&gt;2000,2000,G82))</f>
        <v>0</v>
      </c>
      <c r="H84" s="696">
        <f>G82+G83</f>
        <v>2878134</v>
      </c>
      <c r="I84" s="537">
        <f>IF(H84&lt;&gt;0,0,"NIL")</f>
        <v>0</v>
      </c>
      <c r="J84" s="472"/>
    </row>
    <row r="85" spans="1:10" ht="15" customHeight="1">
      <c r="A85" s="420"/>
      <c r="B85" s="416" t="s">
        <v>1243</v>
      </c>
      <c r="C85" s="524"/>
      <c r="D85" s="456"/>
      <c r="E85" s="428"/>
      <c r="F85" s="415"/>
      <c r="G85" s="526"/>
      <c r="H85" s="489">
        <f>+H84</f>
        <v>2878134</v>
      </c>
      <c r="I85" s="537"/>
      <c r="J85" s="472"/>
    </row>
    <row r="86" spans="1:10" ht="15" customHeight="1">
      <c r="A86" s="420"/>
      <c r="B86" s="697" t="s">
        <v>1202</v>
      </c>
      <c r="C86" s="428"/>
      <c r="D86" s="428"/>
      <c r="E86" s="428"/>
      <c r="F86" s="428"/>
      <c r="G86" s="526"/>
      <c r="H86" s="696">
        <f>ROUND(H85*0.12,0)</f>
        <v>345376</v>
      </c>
      <c r="I86" s="537"/>
      <c r="J86" s="472"/>
    </row>
    <row r="87" spans="1:10" ht="15" customHeight="1">
      <c r="A87" s="420"/>
      <c r="B87" s="415"/>
      <c r="C87" s="428"/>
      <c r="D87" s="428"/>
      <c r="E87" s="428"/>
      <c r="F87" s="428"/>
      <c r="G87" s="526"/>
      <c r="H87" s="489">
        <f>H85+H86</f>
        <v>3223510</v>
      </c>
      <c r="I87" s="537"/>
      <c r="J87" s="472"/>
    </row>
    <row r="88" spans="1:10" ht="15" customHeight="1">
      <c r="A88" s="420"/>
      <c r="B88" s="697" t="s">
        <v>1245</v>
      </c>
      <c r="C88" s="415"/>
      <c r="D88" s="456"/>
      <c r="E88" s="428"/>
      <c r="F88" s="415"/>
      <c r="G88" s="428"/>
      <c r="H88" s="489">
        <f>ROUND((H87)*0.02,0)</f>
        <v>64470</v>
      </c>
      <c r="I88" s="537">
        <f>IF(H88&lt;&gt;0,0,"NIL")</f>
        <v>0</v>
      </c>
      <c r="J88" s="472"/>
    </row>
    <row r="89" spans="1:10" ht="15" customHeight="1">
      <c r="A89" s="420"/>
      <c r="B89" s="697" t="s">
        <v>1246</v>
      </c>
      <c r="C89" s="415"/>
      <c r="D89" s="456"/>
      <c r="E89" s="458"/>
      <c r="F89" s="415"/>
      <c r="G89" s="428"/>
      <c r="H89" s="528">
        <f>ROUND((H87)*0.01,0)</f>
        <v>32235</v>
      </c>
      <c r="I89" s="540">
        <f>IF(H89&lt;&gt;0,0,"NIL")</f>
        <v>0</v>
      </c>
      <c r="J89" s="474"/>
    </row>
    <row r="90" spans="1:10" ht="15" customHeight="1">
      <c r="A90" s="420"/>
      <c r="B90" s="450" t="s">
        <v>1244</v>
      </c>
      <c r="C90" s="415"/>
      <c r="D90" s="456"/>
      <c r="E90" s="458"/>
      <c r="F90" s="415"/>
      <c r="G90" s="428"/>
      <c r="H90" s="488">
        <f>SUM(H87:H89)</f>
        <v>3320215</v>
      </c>
      <c r="I90" s="537"/>
      <c r="J90" s="472"/>
    </row>
    <row r="91" spans="1:10" ht="15" hidden="1" customHeight="1">
      <c r="A91" s="420"/>
      <c r="B91" s="427"/>
      <c r="C91" s="428"/>
      <c r="D91" s="428"/>
      <c r="E91" s="428"/>
      <c r="F91" s="428"/>
      <c r="G91" s="428"/>
      <c r="H91" s="528"/>
      <c r="I91" s="540"/>
      <c r="J91" s="473"/>
    </row>
    <row r="92" spans="1:10" ht="15" hidden="1" customHeight="1">
      <c r="A92" s="420"/>
      <c r="B92" s="450"/>
      <c r="C92" s="428"/>
      <c r="D92" s="428"/>
      <c r="E92" s="428"/>
      <c r="F92" s="428"/>
      <c r="G92" s="428"/>
      <c r="H92" s="491">
        <f>H90+H91</f>
        <v>3320215</v>
      </c>
      <c r="I92" s="537"/>
      <c r="J92" s="472"/>
    </row>
    <row r="93" spans="1:10" ht="15" customHeight="1">
      <c r="A93" s="420"/>
      <c r="B93" s="421" t="s">
        <v>571</v>
      </c>
      <c r="C93" s="428"/>
      <c r="D93" s="428"/>
      <c r="E93" s="428"/>
      <c r="F93" s="428"/>
      <c r="G93" s="428"/>
      <c r="H93" s="490"/>
      <c r="I93" s="537"/>
      <c r="J93" s="471"/>
    </row>
    <row r="94" spans="1:10" ht="15" customHeight="1">
      <c r="A94" s="420"/>
      <c r="B94" s="667">
        <v>42272</v>
      </c>
      <c r="C94" s="1115" t="s">
        <v>993</v>
      </c>
      <c r="D94" s="1115"/>
      <c r="E94" s="1115"/>
      <c r="F94" s="1115"/>
      <c r="G94" s="447">
        <v>78000</v>
      </c>
      <c r="H94" s="482"/>
      <c r="I94" s="536"/>
      <c r="J94" s="472"/>
    </row>
    <row r="95" spans="1:10" ht="15" customHeight="1">
      <c r="A95" s="420"/>
      <c r="B95" s="588"/>
      <c r="C95" s="1115" t="s">
        <v>1180</v>
      </c>
      <c r="D95" s="1115"/>
      <c r="E95" s="1115"/>
      <c r="F95" s="1115"/>
      <c r="G95" s="410">
        <v>900000</v>
      </c>
      <c r="H95" s="482"/>
      <c r="I95" s="536"/>
      <c r="J95" s="472"/>
    </row>
    <row r="96" spans="1:10" ht="12.75" customHeight="1">
      <c r="A96" s="420"/>
      <c r="B96" s="459"/>
      <c r="C96" s="1115" t="s">
        <v>1236</v>
      </c>
      <c r="D96" s="1115"/>
      <c r="E96" s="1115"/>
      <c r="F96" s="1115"/>
      <c r="G96" s="410">
        <v>100000</v>
      </c>
      <c r="H96" s="482"/>
      <c r="I96" s="536"/>
      <c r="J96" s="472"/>
    </row>
    <row r="97" spans="1:11" ht="12.75" customHeight="1">
      <c r="A97" s="420"/>
      <c r="B97" s="459"/>
      <c r="C97" s="1115" t="s">
        <v>1237</v>
      </c>
      <c r="D97" s="1115"/>
      <c r="E97" s="1115"/>
      <c r="F97" s="1115"/>
      <c r="G97" s="410">
        <v>20000</v>
      </c>
      <c r="H97" s="482"/>
      <c r="I97" s="536"/>
      <c r="J97" s="472"/>
    </row>
    <row r="98" spans="1:11" ht="12.75" customHeight="1" thickBot="1">
      <c r="A98" s="414"/>
      <c r="B98" s="667">
        <v>42529</v>
      </c>
      <c r="C98" s="1117" t="s">
        <v>1192</v>
      </c>
      <c r="D98" s="1117"/>
      <c r="E98" s="1117"/>
      <c r="F98" s="1117"/>
      <c r="G98" s="481">
        <v>210000</v>
      </c>
      <c r="H98" s="493">
        <f>SUM(G94:G98)</f>
        <v>1308000</v>
      </c>
      <c r="I98" s="541">
        <f>IF(H98&lt;&gt;0,0,"NIL")</f>
        <v>0</v>
      </c>
      <c r="J98" s="478"/>
    </row>
    <row r="99" spans="1:11" ht="18" customHeight="1" thickBot="1">
      <c r="A99" s="494"/>
      <c r="B99" s="495" t="str">
        <f>IF(H99=0,"TAX  PAYABLE / REFUND ",IF(H99&lt;0,"REFUND","TAX  PAYABLE"))</f>
        <v>TAX  PAYABLE</v>
      </c>
      <c r="C99" s="496"/>
      <c r="D99" s="496"/>
      <c r="E99" s="497"/>
      <c r="F99" s="498" t="s">
        <v>776</v>
      </c>
      <c r="G99" s="497"/>
      <c r="H99" s="499">
        <f>H90-H98</f>
        <v>2012215</v>
      </c>
      <c r="I99" s="542">
        <f>IF(H99&lt;&gt;0,0,"NIL")</f>
        <v>0</v>
      </c>
      <c r="J99" s="500"/>
    </row>
    <row r="100" spans="1:11">
      <c r="A100" s="567"/>
      <c r="B100" s="570"/>
      <c r="C100" s="570"/>
      <c r="D100" s="570"/>
      <c r="E100" s="570"/>
      <c r="F100" s="570"/>
      <c r="G100" s="570"/>
      <c r="H100" s="570"/>
      <c r="I100" s="568"/>
      <c r="J100" s="569"/>
      <c r="K100" s="554"/>
    </row>
    <row r="101" spans="1:11">
      <c r="A101" s="567"/>
      <c r="B101" s="554"/>
      <c r="C101" s="554"/>
      <c r="D101" s="554"/>
      <c r="E101" s="554"/>
      <c r="F101" s="554"/>
      <c r="G101" s="554"/>
      <c r="H101" s="554"/>
      <c r="I101" s="568"/>
      <c r="J101" s="569"/>
      <c r="K101" s="554"/>
    </row>
    <row r="102" spans="1:11">
      <c r="A102" s="567"/>
      <c r="B102" s="554"/>
      <c r="C102" s="554"/>
      <c r="D102" s="554"/>
      <c r="E102" s="554"/>
      <c r="F102" s="554"/>
      <c r="G102" s="554"/>
      <c r="H102" s="554"/>
      <c r="I102" s="568"/>
      <c r="J102" s="569"/>
      <c r="K102" s="554"/>
    </row>
    <row r="103" spans="1:11">
      <c r="A103" s="567"/>
      <c r="B103" s="554"/>
      <c r="C103" s="554"/>
      <c r="D103" s="554"/>
      <c r="E103" s="554"/>
      <c r="F103" s="554"/>
      <c r="G103" s="554"/>
      <c r="H103" s="554"/>
      <c r="I103" s="568"/>
      <c r="J103" s="569"/>
      <c r="K103" s="554"/>
    </row>
    <row r="104" spans="1:11">
      <c r="A104" s="567"/>
      <c r="B104" s="554"/>
      <c r="C104" s="554"/>
      <c r="D104" s="554"/>
      <c r="E104" s="554"/>
      <c r="F104" s="554"/>
      <c r="G104" s="554"/>
      <c r="H104" s="554"/>
      <c r="I104" s="568"/>
      <c r="J104" s="569"/>
      <c r="K104" s="554"/>
    </row>
    <row r="105" spans="1:11">
      <c r="A105" s="567"/>
      <c r="B105" s="554"/>
      <c r="C105" s="554"/>
      <c r="D105" s="554"/>
      <c r="E105" s="554"/>
      <c r="F105" s="554"/>
      <c r="G105" s="554"/>
      <c r="H105" s="554"/>
      <c r="I105" s="568"/>
      <c r="J105" s="569"/>
      <c r="K105" s="554"/>
    </row>
  </sheetData>
  <mergeCells count="7">
    <mergeCell ref="C98:F98"/>
    <mergeCell ref="C97:F97"/>
    <mergeCell ref="A1:J1"/>
    <mergeCell ref="A2:J2"/>
    <mergeCell ref="C94:F94"/>
    <mergeCell ref="C95:F95"/>
    <mergeCell ref="C96:F96"/>
  </mergeCells>
  <conditionalFormatting sqref="F81">
    <cfRule type="expression" dxfId="3" priority="1" stopIfTrue="1">
      <formula>"""$E$55=0"""</formula>
    </cfRule>
  </conditionalFormatting>
  <dataValidations count="2">
    <dataValidation type="list" errorStyle="information" allowBlank="1" showInputMessage="1" showErrorMessage="1" sqref="C61">
      <formula1>"ICICI PRUDENTIAL PREM, BAJAJ ALLIANZ LIFE INSURANCE PREM., LIC  PREMIUM, ULIP PREMIUM"</formula1>
    </dataValidation>
    <dataValidation type="list" errorStyle="information" allowBlank="1" showInputMessage="1" showErrorMessage="1" sqref="D4:D7">
      <formula1>"SALARY RECEIVED, PENSION RECEIVED"</formula1>
    </dataValidation>
  </dataValidations>
  <printOptions horizontalCentered="1" verticalCentered="1"/>
  <pageMargins left="0.39370078740157483" right="0.19685039370078741" top="0.19685039370078741" bottom="0.19685039370078741" header="0" footer="0"/>
  <pageSetup paperSize="9" scale="92" orientation="portrait" r:id="rId1"/>
  <headerFooter alignWithMargins="0"/>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101"/>
  <sheetViews>
    <sheetView showZeros="0"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11.28515625" style="416" customWidth="1"/>
    <col min="8" max="8" width="11.140625" style="416" customWidth="1"/>
    <col min="9" max="9" width="4.28515625" style="526" customWidth="1"/>
    <col min="10" max="10" width="1.85546875" style="476" customWidth="1"/>
    <col min="11" max="11" width="9.140625" style="416"/>
    <col min="12" max="12" width="11.5703125" style="416" customWidth="1"/>
    <col min="13" max="16384" width="9.140625" style="416"/>
  </cols>
  <sheetData>
    <row r="1" spans="1:10" s="413" customFormat="1" ht="18.75" customHeight="1">
      <c r="A1" s="1108" t="s">
        <v>1083</v>
      </c>
      <c r="B1" s="1109"/>
      <c r="C1" s="1109"/>
      <c r="D1" s="1109"/>
      <c r="E1" s="1109"/>
      <c r="F1" s="1109"/>
      <c r="G1" s="1109"/>
      <c r="H1" s="1109"/>
      <c r="I1" s="1109"/>
      <c r="J1" s="1110"/>
    </row>
    <row r="2" spans="1:10" ht="18" customHeight="1" thickBot="1">
      <c r="A2" s="1111" t="s">
        <v>562</v>
      </c>
      <c r="B2" s="1112"/>
      <c r="C2" s="1112"/>
      <c r="D2" s="1112"/>
      <c r="E2" s="1112"/>
      <c r="F2" s="1112"/>
      <c r="G2" s="1112"/>
      <c r="H2" s="1112"/>
      <c r="I2" s="1112"/>
      <c r="J2" s="1113"/>
    </row>
    <row r="3" spans="1:10" ht="20.100000000000001" customHeight="1">
      <c r="A3" s="417"/>
      <c r="B3" s="418" t="s">
        <v>994</v>
      </c>
      <c r="C3" s="419"/>
      <c r="D3" s="419"/>
      <c r="E3" s="419"/>
      <c r="F3" s="419"/>
      <c r="G3" s="419"/>
      <c r="H3" s="501" t="s">
        <v>1013</v>
      </c>
      <c r="I3" s="535"/>
      <c r="J3" s="470"/>
    </row>
    <row r="4" spans="1:10" ht="15" customHeight="1">
      <c r="A4" s="420"/>
      <c r="B4" s="421"/>
      <c r="C4" s="422" t="s">
        <v>567</v>
      </c>
      <c r="D4" s="422"/>
      <c r="E4" s="415"/>
      <c r="F4" s="423"/>
      <c r="G4" s="411">
        <v>1800000</v>
      </c>
      <c r="H4" s="482"/>
      <c r="I4" s="536"/>
      <c r="J4" s="471"/>
    </row>
    <row r="5" spans="1:10" ht="15" customHeight="1">
      <c r="A5" s="420"/>
      <c r="B5" s="421"/>
      <c r="C5" s="408" t="s">
        <v>1203</v>
      </c>
      <c r="D5" s="422"/>
      <c r="E5" s="415"/>
      <c r="F5" s="423"/>
      <c r="G5" s="411">
        <v>600000</v>
      </c>
      <c r="H5" s="482"/>
      <c r="I5" s="536"/>
      <c r="J5" s="471"/>
    </row>
    <row r="6" spans="1:10" ht="15" customHeight="1">
      <c r="A6" s="420"/>
      <c r="B6" s="421"/>
      <c r="C6" s="408" t="s">
        <v>1204</v>
      </c>
      <c r="D6" s="422"/>
      <c r="E6" s="415"/>
      <c r="F6" s="423"/>
      <c r="G6" s="411">
        <v>361350</v>
      </c>
      <c r="H6" s="482"/>
      <c r="I6" s="536"/>
      <c r="J6" s="471"/>
    </row>
    <row r="7" spans="1:10" ht="15" customHeight="1">
      <c r="A7" s="420"/>
      <c r="B7" s="415"/>
      <c r="C7" s="422" t="s">
        <v>1205</v>
      </c>
      <c r="D7" s="415"/>
      <c r="E7" s="415"/>
      <c r="F7" s="415"/>
      <c r="G7" s="425">
        <v>9000</v>
      </c>
      <c r="H7" s="482">
        <f>SUM(G4:G7)</f>
        <v>2770350</v>
      </c>
      <c r="I7" s="537">
        <f>IF(H7&lt;&gt;0,0,"NIL")</f>
        <v>0</v>
      </c>
      <c r="J7" s="472"/>
    </row>
    <row r="8" spans="1:10" ht="15" customHeight="1">
      <c r="A8" s="420"/>
      <c r="B8" s="426" t="s">
        <v>995</v>
      </c>
      <c r="C8" s="415"/>
      <c r="D8" s="415"/>
      <c r="E8" s="525" t="s">
        <v>1014</v>
      </c>
      <c r="F8" s="423"/>
      <c r="G8" s="415"/>
      <c r="H8" s="482"/>
      <c r="I8" s="537"/>
      <c r="J8" s="472"/>
    </row>
    <row r="9" spans="1:10" ht="15" customHeight="1">
      <c r="A9" s="420"/>
      <c r="B9" s="426"/>
      <c r="C9" s="583" t="s">
        <v>1127</v>
      </c>
      <c r="D9" s="422"/>
      <c r="E9" s="672"/>
      <c r="F9" s="679"/>
      <c r="G9" s="411"/>
      <c r="H9" s="482"/>
      <c r="I9" s="537"/>
      <c r="J9" s="472"/>
    </row>
    <row r="10" spans="1:10" ht="15" customHeight="1">
      <c r="A10" s="420"/>
      <c r="B10" s="426"/>
      <c r="C10" s="408" t="s">
        <v>769</v>
      </c>
      <c r="D10" s="415"/>
      <c r="E10" s="408"/>
      <c r="F10" s="415"/>
      <c r="G10" s="479"/>
      <c r="H10" s="482"/>
      <c r="I10" s="537"/>
      <c r="J10" s="472"/>
    </row>
    <row r="11" spans="1:10" ht="15" customHeight="1">
      <c r="A11" s="420"/>
      <c r="B11" s="426"/>
      <c r="C11" s="408"/>
      <c r="D11" s="415"/>
      <c r="E11" s="408"/>
      <c r="F11" s="415"/>
      <c r="G11" s="423">
        <f>IF((G9-G10)&lt;0,0,(G9-G10))</f>
        <v>0</v>
      </c>
      <c r="H11" s="482"/>
      <c r="I11" s="537"/>
      <c r="J11" s="472"/>
    </row>
    <row r="12" spans="1:10" ht="15" customHeight="1">
      <c r="A12" s="420"/>
      <c r="B12" s="426"/>
      <c r="C12" s="590" t="s">
        <v>514</v>
      </c>
      <c r="D12" s="415"/>
      <c r="E12" s="408" t="s">
        <v>1093</v>
      </c>
      <c r="F12" s="415">
        <f>G11*0.3</f>
        <v>0</v>
      </c>
      <c r="G12" s="423"/>
      <c r="H12" s="482"/>
      <c r="I12" s="537"/>
      <c r="J12" s="472"/>
    </row>
    <row r="13" spans="1:10" ht="15" customHeight="1">
      <c r="A13" s="420"/>
      <c r="B13" s="426"/>
      <c r="D13" s="415"/>
      <c r="E13" s="434" t="s">
        <v>1094</v>
      </c>
      <c r="F13" s="415">
        <f t="shared" ref="F13:F22" si="0">G12*0.3</f>
        <v>0</v>
      </c>
      <c r="G13" s="592">
        <f>F12+F13</f>
        <v>0</v>
      </c>
      <c r="H13" s="482"/>
      <c r="I13" s="537"/>
      <c r="J13" s="472"/>
    </row>
    <row r="14" spans="1:10" ht="15" hidden="1" customHeight="1" thickTop="1">
      <c r="A14" s="420"/>
      <c r="B14" s="415"/>
      <c r="C14" s="583" t="s">
        <v>1164</v>
      </c>
      <c r="D14" s="422"/>
      <c r="E14" s="663" t="s">
        <v>1185</v>
      </c>
      <c r="F14" s="415">
        <f t="shared" si="0"/>
        <v>0</v>
      </c>
      <c r="G14" s="411"/>
      <c r="H14" s="482"/>
      <c r="I14" s="537"/>
      <c r="J14" s="472"/>
    </row>
    <row r="15" spans="1:10" ht="15" hidden="1" customHeight="1">
      <c r="A15" s="420"/>
      <c r="B15" s="415"/>
      <c r="C15" s="408" t="s">
        <v>769</v>
      </c>
      <c r="D15" s="415"/>
      <c r="E15" s="408"/>
      <c r="F15" s="415">
        <f t="shared" si="0"/>
        <v>0</v>
      </c>
      <c r="G15" s="479"/>
      <c r="H15" s="482"/>
      <c r="I15" s="537"/>
      <c r="J15" s="472"/>
    </row>
    <row r="16" spans="1:10" ht="15" hidden="1" customHeight="1">
      <c r="A16" s="420"/>
      <c r="B16" s="415"/>
      <c r="C16" s="408"/>
      <c r="D16" s="415"/>
      <c r="E16" s="408"/>
      <c r="F16" s="415">
        <f t="shared" si="0"/>
        <v>0</v>
      </c>
      <c r="G16" s="423">
        <f>IF((G14-G15)&lt;0,0,(G14-G15))</f>
        <v>0</v>
      </c>
      <c r="H16" s="482"/>
      <c r="I16" s="537"/>
      <c r="J16" s="472"/>
    </row>
    <row r="17" spans="1:13" ht="15" hidden="1" customHeight="1">
      <c r="A17" s="420"/>
      <c r="B17" s="415"/>
      <c r="C17" s="590" t="s">
        <v>514</v>
      </c>
      <c r="D17" s="415"/>
      <c r="E17" s="408" t="s">
        <v>1093</v>
      </c>
      <c r="F17" s="415">
        <f t="shared" si="0"/>
        <v>0</v>
      </c>
      <c r="G17" s="423"/>
      <c r="H17" s="482"/>
      <c r="I17" s="537"/>
      <c r="J17" s="472"/>
    </row>
    <row r="18" spans="1:13" ht="15" hidden="1" customHeight="1">
      <c r="A18" s="420"/>
      <c r="B18" s="415"/>
      <c r="C18" s="590"/>
      <c r="D18" s="415"/>
      <c r="E18" s="434" t="s">
        <v>1094</v>
      </c>
      <c r="F18" s="415">
        <f t="shared" si="0"/>
        <v>0</v>
      </c>
      <c r="G18" s="592"/>
      <c r="H18" s="482"/>
      <c r="I18" s="537"/>
      <c r="J18" s="472"/>
    </row>
    <row r="19" spans="1:13" ht="15" hidden="1" customHeight="1" thickBot="1">
      <c r="A19" s="420"/>
      <c r="B19" s="415"/>
      <c r="D19" s="415"/>
      <c r="F19" s="415">
        <f t="shared" si="0"/>
        <v>0</v>
      </c>
      <c r="G19" s="674">
        <f>0-G18</f>
        <v>0</v>
      </c>
      <c r="I19" s="537" t="e">
        <f>IF(#REF!&lt;&gt;0,0,"NIL")</f>
        <v>#REF!</v>
      </c>
      <c r="J19" s="472"/>
    </row>
    <row r="20" spans="1:13" ht="15" hidden="1" customHeight="1">
      <c r="A20" s="420"/>
      <c r="B20" s="421" t="s">
        <v>996</v>
      </c>
      <c r="C20" s="408"/>
      <c r="D20" s="415"/>
      <c r="E20" s="429"/>
      <c r="F20" s="415">
        <f t="shared" si="0"/>
        <v>0</v>
      </c>
      <c r="G20" s="415"/>
      <c r="H20" s="482"/>
      <c r="I20" s="537"/>
      <c r="J20" s="472"/>
    </row>
    <row r="21" spans="1:13" ht="15" hidden="1" customHeight="1">
      <c r="A21" s="420"/>
      <c r="B21" s="415"/>
      <c r="C21" s="408" t="s">
        <v>991</v>
      </c>
      <c r="D21" s="415"/>
      <c r="E21" s="429"/>
      <c r="F21" s="415">
        <f t="shared" si="0"/>
        <v>0</v>
      </c>
      <c r="G21" s="411"/>
      <c r="H21" s="482"/>
      <c r="I21" s="537"/>
      <c r="J21" s="472"/>
    </row>
    <row r="22" spans="1:13" ht="15" hidden="1" customHeight="1">
      <c r="A22" s="420"/>
      <c r="B22" s="415"/>
      <c r="C22" s="408" t="s">
        <v>992</v>
      </c>
      <c r="D22" s="415"/>
      <c r="E22" s="429"/>
      <c r="F22" s="415">
        <f t="shared" si="0"/>
        <v>0</v>
      </c>
      <c r="G22" s="479"/>
      <c r="H22" s="483">
        <f>G21-G22</f>
        <v>0</v>
      </c>
      <c r="I22" s="537" t="str">
        <f>IF(H22&lt;&gt;0,0,"NIL")</f>
        <v>NIL</v>
      </c>
      <c r="J22" s="472"/>
    </row>
    <row r="23" spans="1:13" ht="15" customHeight="1">
      <c r="A23" s="420"/>
      <c r="B23" s="421" t="s">
        <v>997</v>
      </c>
      <c r="C23" s="415"/>
      <c r="D23" s="415"/>
      <c r="E23" s="415"/>
      <c r="F23" s="415"/>
      <c r="G23" s="415"/>
      <c r="H23" s="482"/>
      <c r="I23" s="537"/>
      <c r="J23" s="472"/>
    </row>
    <row r="24" spans="1:13">
      <c r="A24" s="420"/>
      <c r="B24" s="415"/>
      <c r="C24" s="590" t="s">
        <v>498</v>
      </c>
      <c r="D24" s="415"/>
      <c r="E24" s="415"/>
      <c r="F24" s="415"/>
      <c r="G24" s="415"/>
      <c r="H24" s="482"/>
      <c r="I24" s="537"/>
      <c r="J24" s="472"/>
    </row>
    <row r="25" spans="1:13">
      <c r="A25" s="420"/>
      <c r="B25" s="415"/>
      <c r="C25" s="672" t="s">
        <v>1210</v>
      </c>
      <c r="D25" s="682" t="s">
        <v>1211</v>
      </c>
      <c r="E25" s="408">
        <f>1000500-500</f>
        <v>1000000</v>
      </c>
      <c r="F25" s="408"/>
      <c r="G25" s="408"/>
      <c r="H25" s="482"/>
      <c r="I25" s="537"/>
      <c r="J25" s="472"/>
    </row>
    <row r="26" spans="1:13">
      <c r="A26" s="420"/>
      <c r="B26" s="415"/>
      <c r="C26" s="408"/>
      <c r="D26" s="408" t="s">
        <v>1197</v>
      </c>
      <c r="E26" s="683">
        <v>800000</v>
      </c>
      <c r="F26" s="408">
        <f>E25-E26</f>
        <v>200000</v>
      </c>
      <c r="G26" s="408"/>
      <c r="H26" s="482"/>
      <c r="I26" s="537"/>
      <c r="J26" s="472"/>
    </row>
    <row r="27" spans="1:13">
      <c r="A27" s="420"/>
      <c r="B27" s="688">
        <v>0.15</v>
      </c>
      <c r="C27" s="672" t="s">
        <v>1212</v>
      </c>
      <c r="D27" s="682" t="s">
        <v>1211</v>
      </c>
      <c r="E27" s="408">
        <v>1470000</v>
      </c>
      <c r="F27" s="408"/>
      <c r="G27" s="408"/>
      <c r="H27" s="482"/>
      <c r="I27" s="537"/>
      <c r="J27" s="472"/>
    </row>
    <row r="28" spans="1:13">
      <c r="A28" s="420"/>
      <c r="B28" s="415"/>
      <c r="C28" s="408"/>
      <c r="D28" s="408" t="s">
        <v>1197</v>
      </c>
      <c r="E28" s="683">
        <v>1215000</v>
      </c>
      <c r="F28" s="408">
        <f>E27-E28</f>
        <v>255000</v>
      </c>
      <c r="G28" s="687">
        <f>F26+F28</f>
        <v>455000</v>
      </c>
      <c r="H28" s="482"/>
      <c r="I28" s="537"/>
      <c r="J28" s="472"/>
    </row>
    <row r="29" spans="1:13">
      <c r="A29" s="420"/>
      <c r="B29" s="415"/>
      <c r="C29" s="680" t="s">
        <v>77</v>
      </c>
      <c r="D29" s="415"/>
      <c r="E29" s="415"/>
      <c r="F29" s="415"/>
      <c r="G29" s="415"/>
      <c r="H29" s="482"/>
      <c r="I29" s="537"/>
      <c r="J29" s="472"/>
    </row>
    <row r="30" spans="1:13">
      <c r="A30" s="420"/>
      <c r="B30" s="415"/>
      <c r="D30" s="672" t="s">
        <v>1213</v>
      </c>
      <c r="E30" s="682" t="s">
        <v>1211</v>
      </c>
      <c r="F30" s="408">
        <v>8000000</v>
      </c>
      <c r="G30" s="686"/>
      <c r="H30" s="482"/>
      <c r="I30" s="537"/>
      <c r="J30" s="472"/>
      <c r="M30" s="686"/>
    </row>
    <row r="31" spans="1:13">
      <c r="A31" s="420"/>
      <c r="B31" s="415"/>
      <c r="C31" s="408"/>
      <c r="E31" s="408" t="s">
        <v>1197</v>
      </c>
      <c r="F31" s="683">
        <f>ROUND(650000*1081/632,0)</f>
        <v>1111788</v>
      </c>
      <c r="G31" s="408"/>
      <c r="H31" s="482"/>
      <c r="I31" s="537"/>
      <c r="J31" s="472"/>
    </row>
    <row r="32" spans="1:13">
      <c r="A32" s="420"/>
      <c r="B32" s="688">
        <v>0.2</v>
      </c>
      <c r="C32" s="408"/>
      <c r="D32" s="408"/>
      <c r="E32" s="408" t="s">
        <v>1217</v>
      </c>
      <c r="F32" s="408"/>
      <c r="G32" s="687">
        <f>F30-F31</f>
        <v>6888212</v>
      </c>
      <c r="H32" s="482"/>
      <c r="I32" s="537"/>
      <c r="J32" s="472"/>
    </row>
    <row r="33" spans="1:10">
      <c r="A33" s="420"/>
      <c r="B33" s="415"/>
      <c r="D33" s="672" t="s">
        <v>1212</v>
      </c>
      <c r="E33" s="408"/>
      <c r="F33" s="653" t="s">
        <v>1214</v>
      </c>
      <c r="G33" s="408"/>
      <c r="H33" s="482">
        <f>G28+G32</f>
        <v>7343212</v>
      </c>
      <c r="I33" s="537"/>
      <c r="J33" s="472"/>
    </row>
    <row r="34" spans="1:10" ht="20.100000000000001" customHeight="1">
      <c r="A34" s="420"/>
      <c r="B34" s="421" t="s">
        <v>998</v>
      </c>
      <c r="C34" s="415"/>
      <c r="D34" s="415"/>
      <c r="E34" s="415"/>
      <c r="F34" s="415"/>
      <c r="G34" s="415"/>
      <c r="H34" s="482"/>
      <c r="I34" s="536"/>
      <c r="J34" s="471"/>
    </row>
    <row r="35" spans="1:10" ht="13.5">
      <c r="A35" s="420"/>
      <c r="B35" s="636"/>
      <c r="C35" s="431"/>
      <c r="D35" s="431"/>
      <c r="E35" s="431"/>
      <c r="F35" s="415"/>
      <c r="G35" s="415"/>
      <c r="H35" s="482"/>
      <c r="I35" s="536"/>
      <c r="J35" s="471"/>
    </row>
    <row r="36" spans="1:10" ht="13.5">
      <c r="A36" s="420"/>
      <c r="B36" s="636"/>
      <c r="C36" s="431" t="s">
        <v>1207</v>
      </c>
      <c r="D36" s="431" t="s">
        <v>1206</v>
      </c>
      <c r="F36" s="408">
        <v>100000</v>
      </c>
      <c r="G36" s="411"/>
      <c r="H36" s="482"/>
      <c r="I36" s="536"/>
      <c r="J36" s="471"/>
    </row>
    <row r="37" spans="1:10" ht="13.5">
      <c r="A37" s="420"/>
      <c r="B37" s="636"/>
      <c r="C37" s="431" t="s">
        <v>1207</v>
      </c>
      <c r="D37" s="431" t="s">
        <v>1208</v>
      </c>
      <c r="F37" s="408">
        <v>10000</v>
      </c>
      <c r="G37" s="411"/>
      <c r="H37" s="482"/>
      <c r="I37" s="536"/>
      <c r="J37" s="471"/>
    </row>
    <row r="38" spans="1:10" ht="13.5">
      <c r="A38" s="420"/>
      <c r="B38" s="636"/>
      <c r="C38" s="431" t="s">
        <v>1207</v>
      </c>
      <c r="D38" s="431" t="s">
        <v>1218</v>
      </c>
      <c r="F38" s="683">
        <f>11000-1500</f>
        <v>9500</v>
      </c>
      <c r="G38" s="411">
        <f>F36+F37+F38</f>
        <v>119500</v>
      </c>
      <c r="H38" s="482"/>
      <c r="I38" s="536"/>
      <c r="J38" s="471"/>
    </row>
    <row r="39" spans="1:10" ht="13.5">
      <c r="A39" s="420"/>
      <c r="B39" s="589"/>
      <c r="C39" s="431" t="s">
        <v>1209</v>
      </c>
      <c r="G39" s="462">
        <v>14800</v>
      </c>
      <c r="H39" s="482"/>
      <c r="I39" s="536"/>
      <c r="J39" s="471"/>
    </row>
    <row r="40" spans="1:10" ht="15" customHeight="1">
      <c r="A40" s="420"/>
      <c r="B40" s="589"/>
      <c r="C40" s="431"/>
      <c r="D40" s="434"/>
      <c r="E40" s="433"/>
      <c r="F40" s="433"/>
      <c r="G40" s="480">
        <f>SUM(G35:G39)</f>
        <v>134300</v>
      </c>
      <c r="H40" s="482"/>
      <c r="I40" s="536"/>
      <c r="J40" s="471"/>
    </row>
    <row r="41" spans="1:10" ht="15" hidden="1" customHeight="1">
      <c r="A41" s="420"/>
      <c r="B41" s="589"/>
      <c r="C41" s="435" t="s">
        <v>512</v>
      </c>
      <c r="D41" s="436"/>
      <c r="E41" s="436"/>
      <c r="F41" s="436"/>
      <c r="G41" s="437"/>
      <c r="H41" s="482"/>
      <c r="I41" s="536"/>
      <c r="J41" s="471"/>
    </row>
    <row r="42" spans="1:10" ht="15" hidden="1" customHeight="1">
      <c r="A42" s="420"/>
      <c r="B42" s="589"/>
      <c r="G42" s="410"/>
      <c r="H42" s="482"/>
      <c r="I42" s="536"/>
      <c r="J42" s="471"/>
    </row>
    <row r="43" spans="1:10" ht="15" hidden="1" customHeight="1">
      <c r="A43" s="420"/>
      <c r="B43" s="589"/>
      <c r="G43" s="410"/>
      <c r="H43" s="482"/>
      <c r="I43" s="536"/>
      <c r="J43" s="471"/>
    </row>
    <row r="44" spans="1:10" ht="15" hidden="1" customHeight="1">
      <c r="A44" s="420"/>
      <c r="B44" s="589"/>
      <c r="C44" s="436" t="s">
        <v>846</v>
      </c>
      <c r="D44" s="436"/>
      <c r="E44" s="415"/>
      <c r="F44" s="438"/>
      <c r="G44" s="437"/>
      <c r="H44" s="482"/>
      <c r="I44" s="536"/>
      <c r="J44" s="471"/>
    </row>
    <row r="45" spans="1:10" ht="15" hidden="1" customHeight="1">
      <c r="A45" s="420"/>
      <c r="B45" s="589"/>
      <c r="C45" s="432" t="s">
        <v>847</v>
      </c>
      <c r="D45" s="415"/>
      <c r="E45" s="415"/>
      <c r="F45" s="461">
        <f>ROUND(IF(F44/3&gt;15000,15000,F44/3),0)</f>
        <v>0</v>
      </c>
      <c r="G45" s="447">
        <f>F44-F45</f>
        <v>0</v>
      </c>
      <c r="H45" s="482"/>
      <c r="I45" s="536"/>
      <c r="J45" s="471"/>
    </row>
    <row r="46" spans="1:10" ht="15" hidden="1" customHeight="1">
      <c r="A46" s="420"/>
      <c r="B46" s="589"/>
      <c r="C46" s="415"/>
      <c r="D46" s="415"/>
      <c r="E46" s="415"/>
      <c r="F46" s="415"/>
      <c r="G46" s="480">
        <f>SUM(G42:G45)</f>
        <v>0</v>
      </c>
      <c r="H46" s="484"/>
      <c r="J46" s="472"/>
    </row>
    <row r="47" spans="1:10" ht="15" customHeight="1">
      <c r="A47" s="420"/>
      <c r="B47" s="589"/>
      <c r="C47" s="415"/>
      <c r="D47" s="415"/>
      <c r="E47" s="415"/>
      <c r="F47" s="415"/>
      <c r="G47" s="437"/>
      <c r="H47" s="482">
        <f>+G40</f>
        <v>134300</v>
      </c>
      <c r="I47" s="537">
        <f>IF(H47&lt;&gt;0,0,"NIL")</f>
        <v>0</v>
      </c>
      <c r="J47" s="472"/>
    </row>
    <row r="48" spans="1:10" ht="15" hidden="1" customHeight="1">
      <c r="A48" s="420"/>
      <c r="B48" s="589"/>
      <c r="C48" s="439" t="s">
        <v>564</v>
      </c>
      <c r="D48" s="436"/>
      <c r="E48" s="436"/>
      <c r="F48" s="440"/>
      <c r="G48" s="437"/>
      <c r="H48" s="484"/>
      <c r="J48" s="472"/>
    </row>
    <row r="49" spans="1:10" ht="12.75" hidden="1" customHeight="1">
      <c r="A49" s="420"/>
      <c r="B49" s="421"/>
      <c r="C49" s="409" t="s">
        <v>851</v>
      </c>
      <c r="D49" s="436"/>
      <c r="E49" s="441"/>
      <c r="F49" s="442"/>
      <c r="G49" s="430"/>
      <c r="H49" s="482"/>
      <c r="I49" s="536"/>
      <c r="J49" s="471"/>
    </row>
    <row r="50" spans="1:10" ht="12.75" hidden="1" customHeight="1">
      <c r="A50" s="420"/>
      <c r="B50" s="421"/>
      <c r="C50" s="409" t="s">
        <v>981</v>
      </c>
      <c r="D50" s="436"/>
      <c r="E50" s="441"/>
      <c r="F50" s="442"/>
      <c r="G50" s="430"/>
      <c r="H50" s="482"/>
      <c r="I50" s="536"/>
      <c r="J50" s="471"/>
    </row>
    <row r="51" spans="1:10" ht="12.75" hidden="1" customHeight="1">
      <c r="A51" s="420"/>
      <c r="B51" s="421"/>
      <c r="C51" s="409" t="s">
        <v>982</v>
      </c>
      <c r="D51" s="436"/>
      <c r="E51" s="441"/>
      <c r="F51" s="442"/>
      <c r="G51" s="430"/>
      <c r="H51" s="482"/>
      <c r="I51" s="536"/>
      <c r="J51" s="471"/>
    </row>
    <row r="52" spans="1:10" ht="12.75" hidden="1" customHeight="1">
      <c r="A52" s="420"/>
      <c r="B52" s="421"/>
      <c r="C52" s="409" t="s">
        <v>983</v>
      </c>
      <c r="D52" s="436"/>
      <c r="E52" s="415"/>
      <c r="F52" s="442"/>
      <c r="G52" s="430"/>
      <c r="H52" s="482"/>
      <c r="I52" s="536"/>
      <c r="J52" s="471"/>
    </row>
    <row r="53" spans="1:10" ht="12.75" hidden="1" customHeight="1" thickBot="1">
      <c r="A53" s="420"/>
      <c r="B53" s="428"/>
      <c r="C53" s="435"/>
      <c r="D53" s="436"/>
      <c r="E53" s="415"/>
      <c r="F53" s="443">
        <f>SUM(F49:F52)</f>
        <v>0</v>
      </c>
      <c r="G53" s="437"/>
      <c r="H53" s="484"/>
      <c r="J53" s="471"/>
    </row>
    <row r="54" spans="1:10" ht="12.75" customHeight="1">
      <c r="A54" s="420"/>
      <c r="B54" s="428"/>
      <c r="C54" s="435"/>
      <c r="D54" s="436"/>
      <c r="E54" s="415"/>
      <c r="F54" s="444"/>
      <c r="G54" s="437"/>
      <c r="H54" s="484"/>
      <c r="I54" s="538"/>
      <c r="J54" s="534"/>
    </row>
    <row r="55" spans="1:10" ht="15" customHeight="1">
      <c r="A55" s="420"/>
      <c r="B55" s="421" t="s">
        <v>501</v>
      </c>
      <c r="C55" s="415"/>
      <c r="D55" s="415"/>
      <c r="E55" s="428"/>
      <c r="F55" s="428"/>
      <c r="G55" s="424"/>
      <c r="H55" s="485">
        <f>SUM(H7:H53)</f>
        <v>10247862</v>
      </c>
      <c r="I55" s="537">
        <f>IF(H55&lt;&gt;0,0,"NIL")</f>
        <v>0</v>
      </c>
      <c r="J55" s="472"/>
    </row>
    <row r="56" spans="1:10" ht="15" customHeight="1">
      <c r="A56" s="420"/>
      <c r="B56" s="445" t="s">
        <v>999</v>
      </c>
      <c r="C56" s="415"/>
      <c r="D56" s="415"/>
      <c r="E56" s="415"/>
      <c r="F56" s="415"/>
      <c r="G56" s="415"/>
      <c r="H56" s="482"/>
      <c r="I56" s="536"/>
      <c r="J56" s="471"/>
    </row>
    <row r="57" spans="1:10" ht="12.75" customHeight="1">
      <c r="A57" s="420"/>
      <c r="B57" s="446"/>
      <c r="C57" s="435" t="s">
        <v>1080</v>
      </c>
      <c r="D57" s="415"/>
      <c r="E57" s="415"/>
      <c r="F57" s="415"/>
      <c r="G57" s="423"/>
      <c r="H57" s="482"/>
      <c r="I57" s="536"/>
      <c r="J57" s="471"/>
    </row>
    <row r="58" spans="1:10" ht="12.75" hidden="1" customHeight="1">
      <c r="A58" s="420"/>
      <c r="B58" s="446"/>
      <c r="C58" s="431" t="s">
        <v>510</v>
      </c>
      <c r="D58" s="415"/>
      <c r="E58" s="415"/>
      <c r="F58" s="411"/>
      <c r="G58" s="423"/>
      <c r="H58" s="482"/>
      <c r="I58" s="536"/>
      <c r="J58" s="471"/>
    </row>
    <row r="59" spans="1:10" ht="12.75" hidden="1" customHeight="1">
      <c r="A59" s="420"/>
      <c r="B59" s="446"/>
      <c r="C59" s="431" t="s">
        <v>1081</v>
      </c>
      <c r="D59" s="415"/>
      <c r="E59" s="415"/>
      <c r="F59" s="411"/>
      <c r="G59" s="423"/>
      <c r="H59" s="482"/>
      <c r="I59" s="536"/>
      <c r="J59" s="471"/>
    </row>
    <row r="60" spans="1:10" ht="12.75" hidden="1" customHeight="1">
      <c r="A60" s="420"/>
      <c r="B60" s="446"/>
      <c r="C60" s="431" t="s">
        <v>985</v>
      </c>
      <c r="D60" s="415"/>
      <c r="E60" s="415"/>
      <c r="F60" s="411"/>
      <c r="G60" s="423"/>
      <c r="H60" s="482"/>
      <c r="I60" s="536"/>
      <c r="J60" s="471"/>
    </row>
    <row r="61" spans="1:10" ht="12.75" hidden="1" customHeight="1">
      <c r="A61" s="420"/>
      <c r="B61" s="446"/>
      <c r="C61" s="431" t="s">
        <v>984</v>
      </c>
      <c r="D61" s="415"/>
      <c r="E61" s="415"/>
      <c r="F61" s="411"/>
      <c r="G61" s="423"/>
      <c r="H61" s="482"/>
      <c r="I61" s="536"/>
      <c r="J61" s="471"/>
    </row>
    <row r="62" spans="1:10" ht="12.75" customHeight="1">
      <c r="A62" s="420"/>
      <c r="B62" s="446"/>
      <c r="C62" s="431" t="s">
        <v>1177</v>
      </c>
      <c r="D62" s="415"/>
      <c r="E62" s="415"/>
      <c r="F62" s="411">
        <v>90000</v>
      </c>
      <c r="G62" s="423"/>
      <c r="H62" s="482"/>
      <c r="I62" s="536"/>
      <c r="J62" s="471"/>
    </row>
    <row r="63" spans="1:10" ht="12.75" customHeight="1">
      <c r="A63" s="420"/>
      <c r="B63" s="446"/>
      <c r="C63" s="431" t="s">
        <v>1149</v>
      </c>
      <c r="D63" s="415"/>
      <c r="E63" s="415"/>
      <c r="F63" s="411">
        <v>20000</v>
      </c>
      <c r="G63" s="423"/>
      <c r="H63" s="482"/>
      <c r="I63" s="536"/>
      <c r="J63" s="471"/>
    </row>
    <row r="64" spans="1:10" ht="12.75" customHeight="1">
      <c r="A64" s="420"/>
      <c r="B64" s="446"/>
      <c r="C64" s="431" t="s">
        <v>1215</v>
      </c>
      <c r="D64" s="415"/>
      <c r="E64" s="415"/>
      <c r="F64" s="411">
        <v>5000</v>
      </c>
      <c r="G64" s="423"/>
      <c r="H64" s="482"/>
      <c r="I64" s="536"/>
      <c r="J64" s="471"/>
    </row>
    <row r="65" spans="1:13" ht="12.75" customHeight="1">
      <c r="A65" s="420"/>
      <c r="B65" s="446"/>
      <c r="C65" s="431" t="s">
        <v>509</v>
      </c>
      <c r="D65" s="415"/>
      <c r="E65" s="415"/>
      <c r="F65" s="411">
        <v>12000</v>
      </c>
      <c r="G65" s="423"/>
      <c r="H65" s="482"/>
      <c r="I65" s="536"/>
      <c r="J65" s="471"/>
    </row>
    <row r="66" spans="1:13" ht="12.75" hidden="1" customHeight="1">
      <c r="A66" s="420"/>
      <c r="B66" s="446"/>
      <c r="C66" s="431" t="s">
        <v>986</v>
      </c>
      <c r="D66" s="415"/>
      <c r="E66" s="415"/>
      <c r="F66" s="411"/>
      <c r="G66" s="423"/>
      <c r="H66" s="482"/>
      <c r="I66" s="536"/>
      <c r="J66" s="471"/>
    </row>
    <row r="67" spans="1:13" ht="12.75" hidden="1" customHeight="1">
      <c r="A67" s="420"/>
      <c r="B67" s="446"/>
      <c r="C67" s="431" t="s">
        <v>987</v>
      </c>
      <c r="D67" s="415"/>
      <c r="E67" s="415"/>
      <c r="F67" s="411"/>
      <c r="G67" s="423"/>
      <c r="H67" s="482"/>
      <c r="I67" s="536"/>
      <c r="J67" s="471"/>
    </row>
    <row r="68" spans="1:13" ht="12.75" hidden="1" customHeight="1">
      <c r="A68" s="420"/>
      <c r="B68" s="446"/>
      <c r="C68" s="431" t="s">
        <v>988</v>
      </c>
      <c r="D68" s="415"/>
      <c r="E68" s="415"/>
      <c r="F68" s="411"/>
      <c r="G68" s="423"/>
      <c r="H68" s="482"/>
      <c r="I68" s="536"/>
      <c r="J68" s="471"/>
    </row>
    <row r="69" spans="1:13" ht="12.75" hidden="1" customHeight="1">
      <c r="A69" s="420"/>
      <c r="B69" s="446"/>
      <c r="C69" s="431" t="s">
        <v>989</v>
      </c>
      <c r="D69" s="415"/>
      <c r="E69" s="415"/>
      <c r="F69" s="411"/>
      <c r="G69" s="423"/>
      <c r="H69" s="482"/>
      <c r="I69" s="536"/>
      <c r="J69" s="471"/>
    </row>
    <row r="70" spans="1:13" ht="15" customHeight="1">
      <c r="A70" s="420"/>
      <c r="B70" s="446"/>
      <c r="C70" s="431"/>
      <c r="D70" s="415"/>
      <c r="E70" s="415"/>
      <c r="F70" s="448">
        <f>SUM(F62:F69)</f>
        <v>127000</v>
      </c>
      <c r="G70" s="415">
        <f>IF(F70&gt;150000,150000,F70)</f>
        <v>127000</v>
      </c>
      <c r="H70" s="482"/>
      <c r="I70" s="536"/>
      <c r="J70" s="471"/>
    </row>
    <row r="71" spans="1:13" ht="15" customHeight="1">
      <c r="A71" s="420"/>
      <c r="B71" s="446"/>
      <c r="C71" s="449" t="s">
        <v>1079</v>
      </c>
      <c r="D71" s="415"/>
      <c r="E71" s="415"/>
      <c r="F71" s="450"/>
      <c r="G71" s="411">
        <v>50000</v>
      </c>
      <c r="H71" s="482"/>
      <c r="I71" s="536"/>
      <c r="J71" s="471"/>
    </row>
    <row r="72" spans="1:13" ht="15" customHeight="1">
      <c r="A72" s="420"/>
      <c r="B72" s="446"/>
      <c r="C72" s="449" t="s">
        <v>852</v>
      </c>
      <c r="D72" s="408">
        <v>40000</v>
      </c>
      <c r="E72" s="415"/>
      <c r="F72" s="450"/>
      <c r="G72" s="411">
        <f>25000</f>
        <v>25000</v>
      </c>
      <c r="H72" s="482"/>
      <c r="I72" s="536"/>
      <c r="J72" s="471"/>
    </row>
    <row r="73" spans="1:13" ht="15" customHeight="1">
      <c r="A73" s="420"/>
      <c r="B73" s="446"/>
      <c r="C73" s="449" t="s">
        <v>1216</v>
      </c>
      <c r="D73" s="415"/>
      <c r="E73" s="415"/>
      <c r="F73" s="415"/>
      <c r="G73" s="411">
        <v>77000</v>
      </c>
      <c r="H73" s="482"/>
      <c r="I73" s="536"/>
      <c r="J73" s="471"/>
    </row>
    <row r="74" spans="1:13" ht="15" customHeight="1">
      <c r="A74" s="420"/>
      <c r="B74" s="415"/>
      <c r="C74" s="676" t="s">
        <v>979</v>
      </c>
      <c r="D74" s="415"/>
      <c r="E74" s="428"/>
      <c r="F74" s="428"/>
      <c r="G74" s="447">
        <f>IF(G35&gt;10000, 10000, G35)</f>
        <v>0</v>
      </c>
      <c r="H74" s="482"/>
      <c r="I74" s="536"/>
      <c r="J74" s="471"/>
      <c r="L74" s="675"/>
    </row>
    <row r="75" spans="1:13">
      <c r="A75" s="420"/>
      <c r="B75" s="415"/>
      <c r="C75" s="543" t="s">
        <v>853</v>
      </c>
      <c r="D75" s="415"/>
      <c r="E75" s="428"/>
      <c r="F75" s="428"/>
      <c r="G75" s="411"/>
      <c r="H75" s="482">
        <f>SUM(G70:G75)</f>
        <v>279000</v>
      </c>
      <c r="I75" s="537">
        <f>IF(H75&lt;&gt;0,0,"NIL")</f>
        <v>0</v>
      </c>
      <c r="J75" s="472"/>
    </row>
    <row r="76" spans="1:13" ht="15.75" customHeight="1" thickBot="1">
      <c r="A76" s="420"/>
      <c r="B76" s="451" t="s">
        <v>777</v>
      </c>
      <c r="C76" s="415"/>
      <c r="D76" s="415"/>
      <c r="E76" s="452">
        <f>IF((H55-H75)&lt;0,0,(H55-H75))</f>
        <v>9968862</v>
      </c>
      <c r="F76" s="453" t="s">
        <v>779</v>
      </c>
      <c r="G76" s="440"/>
      <c r="H76" s="486">
        <f>ROUND((E76/10),0)*10</f>
        <v>9968860</v>
      </c>
      <c r="I76" s="539">
        <f>IF(H76&lt;&gt;0,0,"NIL")</f>
        <v>0</v>
      </c>
      <c r="J76" s="475"/>
      <c r="M76" s="685"/>
    </row>
    <row r="77" spans="1:13" ht="15" customHeight="1" thickTop="1">
      <c r="A77" s="420"/>
      <c r="B77" s="450" t="s">
        <v>778</v>
      </c>
      <c r="C77" s="415"/>
      <c r="D77" s="415"/>
      <c r="E77" s="444" t="s">
        <v>521</v>
      </c>
      <c r="F77" s="454" t="s">
        <v>522</v>
      </c>
      <c r="G77" s="444" t="s">
        <v>524</v>
      </c>
      <c r="H77" s="487"/>
      <c r="J77" s="471"/>
    </row>
    <row r="78" spans="1:13" ht="15" customHeight="1">
      <c r="A78" s="420"/>
      <c r="B78" s="530"/>
      <c r="C78" s="408" t="s">
        <v>518</v>
      </c>
      <c r="D78" s="415"/>
      <c r="E78" s="455">
        <f>+H76-E81-E82</f>
        <v>2825648</v>
      </c>
      <c r="F78" s="456"/>
      <c r="G78" s="415">
        <f>IF(+Data!D2="Senior",ROUND(IF(E78&gt;1000000,(((E78-1000000)*0.3)+120000),IF(E78&gt;500000,(((E78-500000)*0.2)+20000),IF(E78&gt;300000,((E78-300000)*0.1),0))),0),ROUND(IF(E78&gt;1000000,(((E78-1000000)*0.3)+125000),IF(E78&gt;500000,(((E78-500000)*0.2)+25000),IF(E78&gt;250000,((E78-250000)*0.1),0))),0))</f>
        <v>672694</v>
      </c>
      <c r="H78" s="487"/>
      <c r="J78" s="471"/>
    </row>
    <row r="79" spans="1:13" ht="15" hidden="1" customHeight="1">
      <c r="A79" s="420"/>
      <c r="B79" s="450"/>
      <c r="C79" s="408" t="s">
        <v>518</v>
      </c>
      <c r="D79" s="415"/>
      <c r="E79" s="410"/>
      <c r="F79" s="457">
        <v>0.15</v>
      </c>
      <c r="G79" s="523"/>
      <c r="H79" s="484"/>
      <c r="J79" s="471"/>
    </row>
    <row r="80" spans="1:13" ht="15" hidden="1" customHeight="1">
      <c r="A80" s="420"/>
      <c r="B80" s="415"/>
      <c r="C80" s="408" t="s">
        <v>518</v>
      </c>
      <c r="D80" s="456"/>
      <c r="E80" s="428"/>
      <c r="F80" s="415"/>
      <c r="G80" s="526">
        <f>G78+G79</f>
        <v>672694</v>
      </c>
      <c r="H80" s="488"/>
      <c r="I80" s="537"/>
      <c r="J80" s="472"/>
    </row>
    <row r="81" spans="1:11" ht="15" customHeight="1">
      <c r="A81" s="420"/>
      <c r="B81" s="415"/>
      <c r="C81" s="408" t="s">
        <v>519</v>
      </c>
      <c r="D81" s="456"/>
      <c r="E81" s="684">
        <v>255000</v>
      </c>
      <c r="F81" s="678">
        <v>0.15</v>
      </c>
      <c r="G81" s="526">
        <f>ROUND(E81*F81,0)</f>
        <v>38250</v>
      </c>
      <c r="H81" s="488"/>
      <c r="I81" s="537"/>
      <c r="J81" s="472"/>
    </row>
    <row r="82" spans="1:11" ht="15" customHeight="1">
      <c r="A82" s="420"/>
      <c r="B82" s="415"/>
      <c r="C82" s="408" t="s">
        <v>519</v>
      </c>
      <c r="D82" s="456"/>
      <c r="E82" s="684">
        <f>+G32</f>
        <v>6888212</v>
      </c>
      <c r="F82" s="678">
        <v>0.2</v>
      </c>
      <c r="G82" s="526">
        <f>ROUND(E82*F82,0)</f>
        <v>1377642</v>
      </c>
      <c r="H82" s="488"/>
      <c r="I82" s="537"/>
      <c r="J82" s="472"/>
    </row>
    <row r="83" spans="1:11" ht="15" customHeight="1">
      <c r="A83" s="420"/>
      <c r="C83" s="524"/>
      <c r="D83" s="456"/>
      <c r="E83" s="428"/>
      <c r="F83" s="415"/>
      <c r="G83" s="527">
        <f>IF(H76&gt;500000,0,IF(G80&gt;2000,2000,G80))</f>
        <v>0</v>
      </c>
      <c r="H83" s="489">
        <f>G80+G81+G82</f>
        <v>2088586</v>
      </c>
      <c r="I83" s="537">
        <f>IF(H83&lt;&gt;0,0,"NIL")</f>
        <v>0</v>
      </c>
      <c r="J83" s="472"/>
    </row>
    <row r="84" spans="1:11" ht="15" customHeight="1">
      <c r="A84" s="420"/>
      <c r="B84" s="408" t="s">
        <v>774</v>
      </c>
      <c r="C84" s="415"/>
      <c r="D84" s="456"/>
      <c r="E84" s="428"/>
      <c r="F84" s="415"/>
      <c r="G84" s="428"/>
      <c r="H84" s="489">
        <f>ROUND((H83)*0.02,0)</f>
        <v>41772</v>
      </c>
      <c r="I84" s="537">
        <f>IF(H84&lt;&gt;0,0,"NIL")</f>
        <v>0</v>
      </c>
      <c r="J84" s="472"/>
    </row>
    <row r="85" spans="1:11" ht="15" customHeight="1">
      <c r="A85" s="420"/>
      <c r="B85" s="408" t="s">
        <v>775</v>
      </c>
      <c r="C85" s="415"/>
      <c r="D85" s="456"/>
      <c r="E85" s="458"/>
      <c r="F85" s="415"/>
      <c r="G85" s="428"/>
      <c r="H85" s="528">
        <f>ROUND((H83)*0.01,0)</f>
        <v>20886</v>
      </c>
      <c r="I85" s="540">
        <f>IF(H85&lt;&gt;0,0,"NIL")</f>
        <v>0</v>
      </c>
      <c r="J85" s="474"/>
    </row>
    <row r="86" spans="1:11" ht="15" customHeight="1">
      <c r="A86" s="420"/>
      <c r="B86" s="450" t="s">
        <v>565</v>
      </c>
      <c r="C86" s="415"/>
      <c r="D86" s="456"/>
      <c r="E86" s="458"/>
      <c r="F86" s="415"/>
      <c r="G86" s="428"/>
      <c r="H86" s="488">
        <f>SUM(H83:H85)</f>
        <v>2151244</v>
      </c>
      <c r="I86" s="537"/>
      <c r="J86" s="472"/>
    </row>
    <row r="87" spans="1:11" ht="15" hidden="1" customHeight="1">
      <c r="A87" s="420"/>
      <c r="B87" s="427"/>
      <c r="C87" s="428"/>
      <c r="D87" s="428"/>
      <c r="E87" s="428"/>
      <c r="F87" s="428"/>
      <c r="G87" s="428"/>
      <c r="H87" s="528"/>
      <c r="I87" s="540"/>
      <c r="J87" s="473"/>
    </row>
    <row r="88" spans="1:11" ht="15" hidden="1" customHeight="1">
      <c r="A88" s="420"/>
      <c r="B88" s="450"/>
      <c r="C88" s="428"/>
      <c r="D88" s="428"/>
      <c r="E88" s="428"/>
      <c r="F88" s="428"/>
      <c r="G88" s="428"/>
      <c r="H88" s="491">
        <f>H86+H87</f>
        <v>2151244</v>
      </c>
      <c r="I88" s="537"/>
      <c r="J88" s="472"/>
    </row>
    <row r="89" spans="1:11" ht="15" customHeight="1">
      <c r="A89" s="420"/>
      <c r="B89" s="415" t="s">
        <v>1202</v>
      </c>
      <c r="C89" s="428"/>
      <c r="D89" s="428"/>
      <c r="E89" s="428"/>
      <c r="F89" s="428"/>
      <c r="G89" s="428"/>
      <c r="H89" s="492">
        <f>ROUND(H86*12/100,0)*0</f>
        <v>0</v>
      </c>
      <c r="I89" s="540" t="str">
        <f>IF(H89&lt;&gt;0,0,"NIL")</f>
        <v>NIL</v>
      </c>
      <c r="J89" s="473"/>
    </row>
    <row r="90" spans="1:11" ht="15" customHeight="1">
      <c r="A90" s="420"/>
      <c r="B90" s="450" t="s">
        <v>768</v>
      </c>
      <c r="C90" s="428"/>
      <c r="D90" s="428"/>
      <c r="E90" s="428"/>
      <c r="F90" s="428"/>
      <c r="G90" s="428"/>
      <c r="H90" s="490">
        <f>H88+H89</f>
        <v>2151244</v>
      </c>
      <c r="I90" s="537">
        <f>IF(H90&lt;&gt;0,0,"NIL")</f>
        <v>0</v>
      </c>
      <c r="J90" s="472"/>
    </row>
    <row r="91" spans="1:11" ht="15" customHeight="1">
      <c r="A91" s="420"/>
      <c r="B91" s="421" t="s">
        <v>571</v>
      </c>
      <c r="C91" s="428"/>
      <c r="D91" s="428"/>
      <c r="E91" s="428"/>
      <c r="F91" s="428"/>
      <c r="G91" s="428"/>
      <c r="H91" s="490"/>
      <c r="I91" s="537"/>
      <c r="J91" s="471"/>
    </row>
    <row r="92" spans="1:11" ht="15" customHeight="1">
      <c r="A92" s="420"/>
      <c r="B92" s="667"/>
      <c r="C92" s="1115" t="s">
        <v>993</v>
      </c>
      <c r="D92" s="1115"/>
      <c r="E92" s="1115"/>
      <c r="F92" s="1115"/>
      <c r="G92" s="447">
        <f>118000+10000+6000</f>
        <v>134000</v>
      </c>
      <c r="H92" s="482"/>
      <c r="I92" s="536"/>
      <c r="J92" s="472"/>
    </row>
    <row r="93" spans="1:11" ht="15" customHeight="1">
      <c r="A93" s="420"/>
      <c r="B93" s="588">
        <f>SUM(G92:G93)</f>
        <v>184000</v>
      </c>
      <c r="C93" s="1115" t="s">
        <v>1180</v>
      </c>
      <c r="D93" s="1115"/>
      <c r="E93" s="1115"/>
      <c r="F93" s="1115"/>
      <c r="G93" s="410">
        <v>50000</v>
      </c>
      <c r="H93" s="482"/>
      <c r="I93" s="536"/>
      <c r="J93" s="472"/>
    </row>
    <row r="94" spans="1:11" ht="12.75" customHeight="1" thickBot="1">
      <c r="A94" s="414"/>
      <c r="B94" s="477"/>
      <c r="C94" s="1117" t="s">
        <v>1219</v>
      </c>
      <c r="D94" s="1117"/>
      <c r="E94" s="1117"/>
      <c r="F94" s="1117"/>
      <c r="G94" s="481">
        <v>1967244</v>
      </c>
      <c r="H94" s="493">
        <f>SUM(G92:G94)</f>
        <v>2151244</v>
      </c>
      <c r="I94" s="541">
        <f>IF(H94&lt;&gt;0,0,"NIL")</f>
        <v>0</v>
      </c>
      <c r="J94" s="478"/>
    </row>
    <row r="95" spans="1:11" ht="18" customHeight="1" thickBot="1">
      <c r="A95" s="494"/>
      <c r="B95" s="495" t="str">
        <f>IF(H95=0,"TAX  PAYABLE / REFUND ",IF(H95&lt;0,"REFUND","TAX  PAYABLE"))</f>
        <v xml:space="preserve">TAX  PAYABLE / REFUND </v>
      </c>
      <c r="C95" s="496"/>
      <c r="D95" s="496"/>
      <c r="E95" s="497"/>
      <c r="F95" s="498" t="s">
        <v>776</v>
      </c>
      <c r="G95" s="497"/>
      <c r="H95" s="499">
        <f>H90-H94</f>
        <v>0</v>
      </c>
      <c r="I95" s="542" t="str">
        <f>IF(H95&lt;&gt;0,0,"NIL")</f>
        <v>NIL</v>
      </c>
      <c r="J95" s="500"/>
    </row>
    <row r="96" spans="1:11">
      <c r="A96" s="567"/>
      <c r="B96" s="570"/>
      <c r="C96" s="570"/>
      <c r="D96" s="570"/>
      <c r="E96" s="570"/>
      <c r="F96" s="570"/>
      <c r="G96" s="570"/>
      <c r="H96" s="570"/>
      <c r="I96" s="568"/>
      <c r="J96" s="569"/>
      <c r="K96" s="554"/>
    </row>
    <row r="97" spans="1:11">
      <c r="A97" s="567"/>
      <c r="B97" s="554"/>
      <c r="C97" s="554"/>
      <c r="D97" s="554"/>
      <c r="E97" s="554"/>
      <c r="F97" s="554"/>
      <c r="G97" s="554"/>
      <c r="H97" s="554"/>
      <c r="I97" s="568"/>
      <c r="J97" s="569"/>
      <c r="K97" s="554"/>
    </row>
    <row r="98" spans="1:11">
      <c r="A98" s="567"/>
      <c r="B98" s="554"/>
      <c r="C98" s="554"/>
      <c r="D98" s="554"/>
      <c r="E98" s="554"/>
      <c r="F98" s="554"/>
      <c r="G98" s="554"/>
      <c r="H98" s="554"/>
      <c r="I98" s="568"/>
      <c r="J98" s="569"/>
      <c r="K98" s="554"/>
    </row>
    <row r="99" spans="1:11">
      <c r="A99" s="567"/>
      <c r="B99" s="554"/>
      <c r="C99" s="554"/>
      <c r="D99" s="554"/>
      <c r="E99" s="554"/>
      <c r="F99" s="554"/>
      <c r="G99" s="554"/>
      <c r="H99" s="554"/>
      <c r="I99" s="568"/>
      <c r="J99" s="569"/>
      <c r="K99" s="554"/>
    </row>
    <row r="100" spans="1:11">
      <c r="A100" s="567"/>
      <c r="B100" s="554"/>
      <c r="C100" s="554"/>
      <c r="D100" s="554"/>
      <c r="E100" s="554"/>
      <c r="F100" s="554"/>
      <c r="G100" s="554"/>
      <c r="H100" s="554"/>
      <c r="I100" s="568"/>
      <c r="J100" s="569"/>
      <c r="K100" s="554"/>
    </row>
    <row r="101" spans="1:11">
      <c r="A101" s="567"/>
      <c r="B101" s="554"/>
      <c r="C101" s="554"/>
      <c r="D101" s="554"/>
      <c r="E101" s="554"/>
      <c r="F101" s="554"/>
      <c r="G101" s="554"/>
      <c r="H101" s="554"/>
      <c r="I101" s="568"/>
      <c r="J101" s="569"/>
      <c r="K101" s="554"/>
    </row>
  </sheetData>
  <mergeCells count="5">
    <mergeCell ref="C94:F94"/>
    <mergeCell ref="A1:J1"/>
    <mergeCell ref="A2:J2"/>
    <mergeCell ref="C92:F92"/>
    <mergeCell ref="C93:F93"/>
  </mergeCells>
  <conditionalFormatting sqref="F79">
    <cfRule type="expression" dxfId="2" priority="1" stopIfTrue="1">
      <formula>"""$E$55=0"""</formula>
    </cfRule>
  </conditionalFormatting>
  <dataValidations count="2">
    <dataValidation type="list" errorStyle="information" allowBlank="1" showInputMessage="1" showErrorMessage="1" sqref="D4:D6">
      <formula1>"SALARY RECEIVED, PENSION RECEIVED"</formula1>
    </dataValidation>
    <dataValidation type="list" errorStyle="information" allowBlank="1" showInputMessage="1" showErrorMessage="1" sqref="C60">
      <formula1>"ICICI PRUDENTIAL PREM, BAJAJ ALLIANZ LIFE INSURANCE PREM., LIC  PREMIUM, ULIP PREMIUM"</formula1>
    </dataValidation>
  </dataValidations>
  <printOptions horizontalCentered="1" verticalCentered="1"/>
  <pageMargins left="0.39370078740157483" right="0.19685039370078741" top="0.19685039370078741" bottom="0.19685039370078741" header="0" footer="0"/>
  <pageSetup paperSize="9" scale="92" orientation="portrait" r:id="rId1"/>
  <headerFooter alignWithMargins="0"/>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94"/>
  <sheetViews>
    <sheetView showZeros="0" zoomScale="120" workbookViewId="0">
      <selection activeCell="J55" sqref="J55"/>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11.28515625" style="416" customWidth="1"/>
    <col min="8" max="8" width="11.140625" style="416" customWidth="1"/>
    <col min="9" max="9" width="4.28515625" style="526" customWidth="1"/>
    <col min="10" max="10" width="1.85546875" style="476" customWidth="1"/>
    <col min="11" max="11" width="9.140625" style="416"/>
    <col min="12" max="12" width="11.5703125" style="416" customWidth="1"/>
    <col min="13" max="16384" width="9.140625" style="416"/>
  </cols>
  <sheetData>
    <row r="1" spans="1:10" s="413" customFormat="1" ht="18.75" customHeight="1">
      <c r="A1" s="1108" t="s">
        <v>1083</v>
      </c>
      <c r="B1" s="1109"/>
      <c r="C1" s="1109"/>
      <c r="D1" s="1109"/>
      <c r="E1" s="1109"/>
      <c r="F1" s="1109"/>
      <c r="G1" s="1109"/>
      <c r="H1" s="1109"/>
      <c r="I1" s="1109"/>
      <c r="J1" s="1110"/>
    </row>
    <row r="2" spans="1:10" ht="18" customHeight="1" thickBot="1">
      <c r="A2" s="1111" t="s">
        <v>562</v>
      </c>
      <c r="B2" s="1112"/>
      <c r="C2" s="1112"/>
      <c r="D2" s="1112"/>
      <c r="E2" s="1112"/>
      <c r="F2" s="1112"/>
      <c r="G2" s="1112"/>
      <c r="H2" s="1112"/>
      <c r="I2" s="1112"/>
      <c r="J2" s="1113"/>
    </row>
    <row r="3" spans="1:10" ht="20.100000000000001" customHeight="1">
      <c r="A3" s="417"/>
      <c r="B3" s="418" t="s">
        <v>994</v>
      </c>
      <c r="C3" s="419"/>
      <c r="D3" s="419"/>
      <c r="E3" s="419"/>
      <c r="F3" s="419"/>
      <c r="G3" s="419"/>
      <c r="H3" s="501" t="s">
        <v>1013</v>
      </c>
      <c r="I3" s="535"/>
      <c r="J3" s="470"/>
    </row>
    <row r="4" spans="1:10" ht="15" customHeight="1">
      <c r="A4" s="420"/>
      <c r="B4" s="421"/>
      <c r="C4" s="422" t="s">
        <v>567</v>
      </c>
      <c r="D4" s="422"/>
      <c r="E4" s="415"/>
      <c r="F4" s="423"/>
      <c r="G4" s="411">
        <v>1492000</v>
      </c>
      <c r="H4" s="482"/>
      <c r="I4" s="536"/>
      <c r="J4" s="471"/>
    </row>
    <row r="5" spans="1:10" ht="15" hidden="1" customHeight="1">
      <c r="A5" s="420"/>
      <c r="B5" s="421"/>
      <c r="C5" s="408"/>
      <c r="D5" s="422"/>
      <c r="E5" s="415"/>
      <c r="F5" s="423"/>
      <c r="G5" s="411"/>
      <c r="H5" s="482"/>
      <c r="I5" s="536"/>
      <c r="J5" s="471"/>
    </row>
    <row r="6" spans="1:10" ht="15" hidden="1" customHeight="1">
      <c r="A6" s="420"/>
      <c r="B6" s="421"/>
      <c r="C6" s="408"/>
      <c r="D6" s="422"/>
      <c r="E6" s="415"/>
      <c r="F6" s="423"/>
      <c r="G6" s="411"/>
      <c r="H6" s="482"/>
      <c r="I6" s="536"/>
      <c r="J6" s="471"/>
    </row>
    <row r="7" spans="1:10" ht="15" customHeight="1">
      <c r="A7" s="420"/>
      <c r="B7" s="415"/>
      <c r="C7" s="422"/>
      <c r="D7" s="415"/>
      <c r="E7" s="415"/>
      <c r="F7" s="415"/>
      <c r="G7" s="425"/>
      <c r="H7" s="482">
        <f>SUM(G4:G7)</f>
        <v>1492000</v>
      </c>
      <c r="I7" s="537">
        <f>IF(H7&lt;&gt;0,0,"NIL")</f>
        <v>0</v>
      </c>
      <c r="J7" s="472"/>
    </row>
    <row r="8" spans="1:10" ht="15" customHeight="1">
      <c r="A8" s="420"/>
      <c r="B8" s="426" t="s">
        <v>995</v>
      </c>
      <c r="C8" s="415"/>
      <c r="D8" s="415"/>
      <c r="E8" s="525" t="s">
        <v>1014</v>
      </c>
      <c r="F8" s="423"/>
      <c r="G8" s="415"/>
      <c r="H8" s="482"/>
      <c r="I8" s="537"/>
      <c r="J8" s="472"/>
    </row>
    <row r="9" spans="1:10" ht="15" customHeight="1">
      <c r="A9" s="420"/>
      <c r="B9" s="426"/>
      <c r="C9" s="415" t="s">
        <v>1185</v>
      </c>
      <c r="D9" s="415"/>
      <c r="E9" s="525"/>
      <c r="F9" s="423"/>
      <c r="G9" s="637">
        <f>200000*-1</f>
        <v>-200000</v>
      </c>
      <c r="H9" s="482"/>
      <c r="I9" s="537"/>
      <c r="J9" s="472"/>
    </row>
    <row r="10" spans="1:10" ht="15" customHeight="1">
      <c r="A10" s="420"/>
      <c r="B10" s="426"/>
      <c r="C10" s="583" t="s">
        <v>1127</v>
      </c>
      <c r="D10" s="422"/>
      <c r="E10" s="672"/>
      <c r="F10" s="679"/>
      <c r="G10" s="411">
        <v>900000</v>
      </c>
      <c r="H10" s="482"/>
      <c r="I10" s="537"/>
      <c r="J10" s="472"/>
    </row>
    <row r="11" spans="1:10" ht="15" customHeight="1">
      <c r="A11" s="420"/>
      <c r="B11" s="426"/>
      <c r="C11" s="408" t="s">
        <v>769</v>
      </c>
      <c r="D11" s="415"/>
      <c r="E11" s="408"/>
      <c r="F11" s="415"/>
      <c r="G11" s="479">
        <f>80000*0.5</f>
        <v>40000</v>
      </c>
      <c r="H11" s="482"/>
      <c r="I11" s="537"/>
      <c r="J11" s="472"/>
    </row>
    <row r="12" spans="1:10" ht="15" customHeight="1">
      <c r="A12" s="420"/>
      <c r="B12" s="426"/>
      <c r="C12" s="408"/>
      <c r="D12" s="415"/>
      <c r="E12" s="408"/>
      <c r="F12" s="415"/>
      <c r="G12" s="423">
        <f>IF((G10-G11)&lt;0,0,(G10-G11))</f>
        <v>860000</v>
      </c>
      <c r="H12" s="482"/>
      <c r="I12" s="537"/>
      <c r="J12" s="472"/>
    </row>
    <row r="13" spans="1:10" ht="15" customHeight="1">
      <c r="A13" s="420"/>
      <c r="B13" s="426"/>
      <c r="C13" s="590" t="s">
        <v>514</v>
      </c>
      <c r="D13" s="415"/>
      <c r="E13" s="408" t="s">
        <v>1093</v>
      </c>
      <c r="F13" s="415">
        <f>G12*0.3</f>
        <v>258000</v>
      </c>
      <c r="G13" s="423"/>
      <c r="H13" s="482"/>
      <c r="I13" s="537"/>
      <c r="J13" s="472"/>
    </row>
    <row r="14" spans="1:10" ht="15" customHeight="1">
      <c r="A14" s="420"/>
      <c r="B14" s="426"/>
      <c r="D14" s="415"/>
      <c r="E14" s="434" t="s">
        <v>1094</v>
      </c>
      <c r="F14" s="681">
        <f>440000/2</f>
        <v>220000</v>
      </c>
      <c r="G14" s="592">
        <f>F13+F14</f>
        <v>478000</v>
      </c>
      <c r="H14" s="482">
        <f>G12-G14+G9</f>
        <v>182000</v>
      </c>
      <c r="I14" s="537"/>
      <c r="J14" s="472"/>
    </row>
    <row r="15" spans="1:10" ht="15" hidden="1" customHeight="1" thickTop="1">
      <c r="A15" s="420"/>
      <c r="B15" s="415"/>
      <c r="C15" s="583" t="s">
        <v>1164</v>
      </c>
      <c r="D15" s="422"/>
      <c r="E15" s="663" t="s">
        <v>1185</v>
      </c>
      <c r="F15" s="415">
        <f t="shared" ref="F15:F23" si="0">G14*0.3</f>
        <v>143400</v>
      </c>
      <c r="G15" s="411"/>
      <c r="H15" s="482"/>
      <c r="I15" s="537"/>
      <c r="J15" s="472"/>
    </row>
    <row r="16" spans="1:10" ht="15" hidden="1" customHeight="1">
      <c r="A16" s="420"/>
      <c r="B16" s="415"/>
      <c r="C16" s="408" t="s">
        <v>769</v>
      </c>
      <c r="D16" s="415"/>
      <c r="E16" s="408"/>
      <c r="F16" s="415">
        <f t="shared" si="0"/>
        <v>0</v>
      </c>
      <c r="G16" s="479"/>
      <c r="H16" s="482"/>
      <c r="I16" s="537"/>
      <c r="J16" s="472"/>
    </row>
    <row r="17" spans="1:13" ht="15" hidden="1" customHeight="1">
      <c r="A17" s="420"/>
      <c r="B17" s="415"/>
      <c r="C17" s="408"/>
      <c r="D17" s="415"/>
      <c r="E17" s="408"/>
      <c r="F17" s="415">
        <f t="shared" si="0"/>
        <v>0</v>
      </c>
      <c r="G17" s="423">
        <f>IF((G15-G16)&lt;0,0,(G15-G16))</f>
        <v>0</v>
      </c>
      <c r="H17" s="482"/>
      <c r="I17" s="537"/>
      <c r="J17" s="472"/>
    </row>
    <row r="18" spans="1:13" ht="15" hidden="1" customHeight="1">
      <c r="A18" s="420"/>
      <c r="B18" s="415"/>
      <c r="C18" s="590" t="s">
        <v>514</v>
      </c>
      <c r="D18" s="415"/>
      <c r="E18" s="408" t="s">
        <v>1093</v>
      </c>
      <c r="F18" s="415">
        <f t="shared" si="0"/>
        <v>0</v>
      </c>
      <c r="G18" s="423"/>
      <c r="H18" s="482"/>
      <c r="I18" s="537"/>
      <c r="J18" s="472"/>
    </row>
    <row r="19" spans="1:13" ht="15" hidden="1" customHeight="1">
      <c r="A19" s="420"/>
      <c r="B19" s="415"/>
      <c r="C19" s="590"/>
      <c r="D19" s="415"/>
      <c r="E19" s="434" t="s">
        <v>1094</v>
      </c>
      <c r="F19" s="415">
        <f t="shared" si="0"/>
        <v>0</v>
      </c>
      <c r="G19" s="592"/>
      <c r="H19" s="482"/>
      <c r="I19" s="537"/>
      <c r="J19" s="472"/>
    </row>
    <row r="20" spans="1:13" ht="15" hidden="1" customHeight="1" thickBot="1">
      <c r="A20" s="420"/>
      <c r="B20" s="415"/>
      <c r="D20" s="415"/>
      <c r="F20" s="415">
        <f t="shared" si="0"/>
        <v>0</v>
      </c>
      <c r="G20" s="674">
        <f>0-G19</f>
        <v>0</v>
      </c>
      <c r="I20" s="537" t="e">
        <f>IF(#REF!&lt;&gt;0,0,"NIL")</f>
        <v>#REF!</v>
      </c>
      <c r="J20" s="472"/>
    </row>
    <row r="21" spans="1:13" ht="15" hidden="1" customHeight="1">
      <c r="A21" s="420"/>
      <c r="B21" s="421" t="s">
        <v>996</v>
      </c>
      <c r="C21" s="408"/>
      <c r="D21" s="415"/>
      <c r="E21" s="429"/>
      <c r="F21" s="415">
        <f t="shared" si="0"/>
        <v>0</v>
      </c>
      <c r="G21" s="415"/>
      <c r="H21" s="482"/>
      <c r="I21" s="537"/>
      <c r="J21" s="472"/>
    </row>
    <row r="22" spans="1:13" ht="15" hidden="1" customHeight="1">
      <c r="A22" s="420"/>
      <c r="B22" s="415"/>
      <c r="C22" s="408" t="s">
        <v>991</v>
      </c>
      <c r="D22" s="415"/>
      <c r="E22" s="429"/>
      <c r="F22" s="415">
        <f t="shared" si="0"/>
        <v>0</v>
      </c>
      <c r="G22" s="411"/>
      <c r="H22" s="482"/>
      <c r="I22" s="537"/>
      <c r="J22" s="472"/>
    </row>
    <row r="23" spans="1:13" ht="15" hidden="1" customHeight="1">
      <c r="A23" s="420"/>
      <c r="B23" s="415"/>
      <c r="C23" s="408" t="s">
        <v>992</v>
      </c>
      <c r="D23" s="415"/>
      <c r="E23" s="429"/>
      <c r="F23" s="415">
        <f t="shared" si="0"/>
        <v>0</v>
      </c>
      <c r="G23" s="479"/>
      <c r="H23" s="483">
        <f>G22-G23</f>
        <v>0</v>
      </c>
      <c r="I23" s="537" t="str">
        <f>IF(H23&lt;&gt;0,0,"NIL")</f>
        <v>NIL</v>
      </c>
      <c r="J23" s="472"/>
    </row>
    <row r="24" spans="1:13" ht="15" customHeight="1">
      <c r="A24" s="420"/>
      <c r="B24" s="421" t="s">
        <v>997</v>
      </c>
      <c r="C24" s="415"/>
      <c r="D24" s="415"/>
      <c r="E24" s="415"/>
      <c r="F24" s="415"/>
      <c r="G24" s="415"/>
      <c r="H24" s="482"/>
      <c r="I24" s="537"/>
      <c r="J24" s="472"/>
    </row>
    <row r="25" spans="1:13">
      <c r="A25" s="420"/>
      <c r="B25" s="415"/>
      <c r="C25" s="408" t="s">
        <v>498</v>
      </c>
      <c r="D25" s="415"/>
      <c r="E25" s="415"/>
      <c r="F25" s="415"/>
      <c r="G25" s="415"/>
      <c r="H25" s="482"/>
      <c r="I25" s="537"/>
      <c r="J25" s="472"/>
    </row>
    <row r="26" spans="1:13">
      <c r="A26" s="420"/>
      <c r="B26" s="415"/>
      <c r="C26" s="680" t="s">
        <v>1222</v>
      </c>
      <c r="D26" s="415"/>
      <c r="E26" s="415"/>
      <c r="F26" s="415"/>
      <c r="G26" s="415"/>
      <c r="H26" s="482"/>
      <c r="I26" s="537"/>
      <c r="J26" s="472"/>
    </row>
    <row r="27" spans="1:13">
      <c r="A27" s="420"/>
      <c r="B27" s="688">
        <v>0.1</v>
      </c>
      <c r="D27" s="672" t="s">
        <v>1220</v>
      </c>
      <c r="E27" s="682" t="s">
        <v>1211</v>
      </c>
      <c r="F27" s="408">
        <f>2600000-1000</f>
        <v>2599000</v>
      </c>
      <c r="G27" s="686"/>
      <c r="H27" s="482"/>
      <c r="I27" s="537"/>
      <c r="J27" s="472"/>
      <c r="M27" s="686"/>
    </row>
    <row r="28" spans="1:13">
      <c r="A28" s="420"/>
      <c r="C28" s="408"/>
      <c r="D28" s="689">
        <f>ROUND(25000*1081/109,0)</f>
        <v>247936</v>
      </c>
      <c r="E28" s="408" t="s">
        <v>1197</v>
      </c>
      <c r="F28" s="683">
        <v>25000</v>
      </c>
      <c r="G28" s="408"/>
      <c r="H28" s="482"/>
      <c r="I28" s="537"/>
      <c r="J28" s="472"/>
    </row>
    <row r="29" spans="1:13">
      <c r="A29" s="420"/>
      <c r="C29" s="408"/>
      <c r="D29" s="408"/>
      <c r="E29" s="408" t="s">
        <v>1221</v>
      </c>
      <c r="F29" s="408">
        <v>200000</v>
      </c>
      <c r="G29" s="687">
        <f>F27-F28-F29</f>
        <v>2374000</v>
      </c>
      <c r="H29" s="482">
        <f>G29</f>
        <v>2374000</v>
      </c>
      <c r="I29" s="537"/>
      <c r="J29" s="472"/>
    </row>
    <row r="30" spans="1:13" ht="20.100000000000001" customHeight="1">
      <c r="A30" s="420"/>
      <c r="B30" s="421" t="s">
        <v>998</v>
      </c>
      <c r="C30" s="415"/>
      <c r="D30" s="415"/>
      <c r="E30" s="415"/>
      <c r="F30" s="415"/>
      <c r="G30" s="415"/>
      <c r="H30" s="482"/>
      <c r="I30" s="536"/>
      <c r="J30" s="471"/>
    </row>
    <row r="31" spans="1:13" ht="13.5">
      <c r="A31" s="420"/>
      <c r="B31" s="636"/>
      <c r="C31" s="431"/>
      <c r="D31" s="431"/>
      <c r="E31" s="431"/>
      <c r="F31" s="415"/>
      <c r="G31" s="415"/>
      <c r="H31" s="482"/>
      <c r="I31" s="536"/>
      <c r="J31" s="471"/>
    </row>
    <row r="32" spans="1:13" ht="13.5">
      <c r="A32" s="420"/>
      <c r="B32" s="636"/>
      <c r="C32" s="431" t="s">
        <v>1207</v>
      </c>
      <c r="D32" s="431" t="s">
        <v>1223</v>
      </c>
      <c r="E32" s="422">
        <v>800000</v>
      </c>
      <c r="G32" s="411"/>
      <c r="H32" s="482"/>
      <c r="I32" s="536"/>
      <c r="J32" s="471"/>
    </row>
    <row r="33" spans="1:10" ht="13.5">
      <c r="A33" s="420"/>
      <c r="B33" s="589"/>
      <c r="C33" s="431" t="s">
        <v>1224</v>
      </c>
      <c r="F33" s="408"/>
      <c r="G33" s="462">
        <v>125000</v>
      </c>
      <c r="H33" s="482"/>
      <c r="I33" s="536"/>
      <c r="J33" s="471"/>
    </row>
    <row r="34" spans="1:10" ht="15" customHeight="1">
      <c r="A34" s="420"/>
      <c r="B34" s="589"/>
      <c r="C34" s="431"/>
      <c r="D34" s="434"/>
      <c r="E34" s="433"/>
      <c r="F34" s="433"/>
      <c r="G34" s="480">
        <f>SUM(G31:G33)</f>
        <v>125000</v>
      </c>
      <c r="H34" s="482"/>
      <c r="I34" s="536"/>
      <c r="J34" s="471"/>
    </row>
    <row r="35" spans="1:10" ht="15" hidden="1" customHeight="1">
      <c r="A35" s="420"/>
      <c r="B35" s="589"/>
      <c r="C35" s="435" t="s">
        <v>512</v>
      </c>
      <c r="D35" s="436"/>
      <c r="E35" s="436"/>
      <c r="F35" s="436"/>
      <c r="G35" s="437"/>
      <c r="H35" s="482"/>
      <c r="I35" s="536"/>
      <c r="J35" s="471"/>
    </row>
    <row r="36" spans="1:10" ht="15" hidden="1" customHeight="1">
      <c r="A36" s="420"/>
      <c r="B36" s="589"/>
      <c r="G36" s="410"/>
      <c r="H36" s="482"/>
      <c r="I36" s="536"/>
      <c r="J36" s="471"/>
    </row>
    <row r="37" spans="1:10" ht="15" hidden="1" customHeight="1">
      <c r="A37" s="420"/>
      <c r="B37" s="589"/>
      <c r="G37" s="410"/>
      <c r="H37" s="482"/>
      <c r="I37" s="536"/>
      <c r="J37" s="471"/>
    </row>
    <row r="38" spans="1:10" ht="15" hidden="1" customHeight="1">
      <c r="A38" s="420"/>
      <c r="B38" s="589"/>
      <c r="C38" s="436" t="s">
        <v>846</v>
      </c>
      <c r="D38" s="436"/>
      <c r="E38" s="415"/>
      <c r="F38" s="438"/>
      <c r="G38" s="437"/>
      <c r="H38" s="482"/>
      <c r="I38" s="536"/>
      <c r="J38" s="471"/>
    </row>
    <row r="39" spans="1:10" ht="15" hidden="1" customHeight="1">
      <c r="A39" s="420"/>
      <c r="B39" s="589"/>
      <c r="C39" s="432" t="s">
        <v>847</v>
      </c>
      <c r="D39" s="415"/>
      <c r="E39" s="415"/>
      <c r="F39" s="461">
        <f>ROUND(IF(F38/3&gt;15000,15000,F38/3),0)</f>
        <v>0</v>
      </c>
      <c r="G39" s="447">
        <f>F38-F39</f>
        <v>0</v>
      </c>
      <c r="H39" s="482"/>
      <c r="I39" s="536"/>
      <c r="J39" s="471"/>
    </row>
    <row r="40" spans="1:10" ht="15" hidden="1" customHeight="1">
      <c r="A40" s="420"/>
      <c r="B40" s="589"/>
      <c r="C40" s="415"/>
      <c r="D40" s="415"/>
      <c r="E40" s="415"/>
      <c r="F40" s="415"/>
      <c r="G40" s="480">
        <f>SUM(G36:G39)</f>
        <v>0</v>
      </c>
      <c r="H40" s="484"/>
      <c r="J40" s="472"/>
    </row>
    <row r="41" spans="1:10" ht="15" customHeight="1">
      <c r="A41" s="420"/>
      <c r="B41" s="589"/>
      <c r="C41" s="415"/>
      <c r="D41" s="415"/>
      <c r="E41" s="415"/>
      <c r="F41" s="415"/>
      <c r="G41" s="437"/>
      <c r="H41" s="482">
        <f>+G34</f>
        <v>125000</v>
      </c>
      <c r="I41" s="537">
        <f>IF(H41&lt;&gt;0,0,"NIL")</f>
        <v>0</v>
      </c>
      <c r="J41" s="472"/>
    </row>
    <row r="42" spans="1:10" ht="15" hidden="1" customHeight="1">
      <c r="A42" s="420"/>
      <c r="B42" s="589"/>
      <c r="C42" s="439" t="s">
        <v>564</v>
      </c>
      <c r="D42" s="436"/>
      <c r="E42" s="436"/>
      <c r="F42" s="440"/>
      <c r="G42" s="437"/>
      <c r="H42" s="484"/>
      <c r="J42" s="472"/>
    </row>
    <row r="43" spans="1:10" ht="12.75" hidden="1" customHeight="1">
      <c r="A43" s="420"/>
      <c r="B43" s="421"/>
      <c r="C43" s="409" t="s">
        <v>851</v>
      </c>
      <c r="D43" s="436"/>
      <c r="E43" s="441"/>
      <c r="F43" s="442"/>
      <c r="G43" s="430"/>
      <c r="H43" s="482"/>
      <c r="I43" s="536"/>
      <c r="J43" s="471"/>
    </row>
    <row r="44" spans="1:10" ht="12.75" hidden="1" customHeight="1">
      <c r="A44" s="420"/>
      <c r="B44" s="421"/>
      <c r="C44" s="409" t="s">
        <v>981</v>
      </c>
      <c r="D44" s="436"/>
      <c r="E44" s="441"/>
      <c r="F44" s="442"/>
      <c r="G44" s="430"/>
      <c r="H44" s="482"/>
      <c r="I44" s="536"/>
      <c r="J44" s="471"/>
    </row>
    <row r="45" spans="1:10" ht="12.75" hidden="1" customHeight="1">
      <c r="A45" s="420"/>
      <c r="B45" s="421"/>
      <c r="C45" s="409" t="s">
        <v>982</v>
      </c>
      <c r="D45" s="436"/>
      <c r="E45" s="441"/>
      <c r="F45" s="442"/>
      <c r="G45" s="430"/>
      <c r="H45" s="482"/>
      <c r="I45" s="536"/>
      <c r="J45" s="471"/>
    </row>
    <row r="46" spans="1:10" ht="12.75" hidden="1" customHeight="1">
      <c r="A46" s="420"/>
      <c r="B46" s="421"/>
      <c r="C46" s="409" t="s">
        <v>983</v>
      </c>
      <c r="D46" s="436"/>
      <c r="E46" s="415"/>
      <c r="F46" s="442"/>
      <c r="G46" s="430"/>
      <c r="H46" s="482"/>
      <c r="I46" s="536"/>
      <c r="J46" s="471"/>
    </row>
    <row r="47" spans="1:10" ht="12.75" hidden="1" customHeight="1" thickBot="1">
      <c r="A47" s="420"/>
      <c r="B47" s="428"/>
      <c r="C47" s="435"/>
      <c r="D47" s="436"/>
      <c r="E47" s="415"/>
      <c r="F47" s="443">
        <f>SUM(F43:F46)</f>
        <v>0</v>
      </c>
      <c r="G47" s="437"/>
      <c r="H47" s="484"/>
      <c r="J47" s="471"/>
    </row>
    <row r="48" spans="1:10" ht="12.75" customHeight="1">
      <c r="A48" s="420"/>
      <c r="B48" s="428"/>
      <c r="C48" s="435"/>
      <c r="D48" s="436"/>
      <c r="E48" s="415"/>
      <c r="F48" s="444"/>
      <c r="G48" s="437"/>
      <c r="H48" s="484"/>
      <c r="I48" s="538"/>
      <c r="J48" s="534"/>
    </row>
    <row r="49" spans="1:10" ht="15" customHeight="1">
      <c r="A49" s="420"/>
      <c r="B49" s="421" t="s">
        <v>501</v>
      </c>
      <c r="C49" s="415"/>
      <c r="D49" s="415"/>
      <c r="E49" s="428"/>
      <c r="F49" s="428"/>
      <c r="G49" s="424"/>
      <c r="H49" s="485">
        <f>SUM(H7:H47)</f>
        <v>4173000</v>
      </c>
      <c r="I49" s="537">
        <f>IF(H49&lt;&gt;0,0,"NIL")</f>
        <v>0</v>
      </c>
      <c r="J49" s="472"/>
    </row>
    <row r="50" spans="1:10" ht="15" customHeight="1">
      <c r="A50" s="420"/>
      <c r="B50" s="445" t="s">
        <v>999</v>
      </c>
      <c r="C50" s="415"/>
      <c r="D50" s="415"/>
      <c r="E50" s="415"/>
      <c r="F50" s="415"/>
      <c r="G50" s="415"/>
      <c r="H50" s="482"/>
      <c r="I50" s="536"/>
      <c r="J50" s="471"/>
    </row>
    <row r="51" spans="1:10" ht="12.75" customHeight="1">
      <c r="A51" s="420"/>
      <c r="B51" s="446"/>
      <c r="C51" s="435" t="s">
        <v>1080</v>
      </c>
      <c r="D51" s="415"/>
      <c r="E51" s="415"/>
      <c r="F51" s="415"/>
      <c r="G51" s="423"/>
      <c r="H51" s="482"/>
      <c r="I51" s="536"/>
      <c r="J51" s="471"/>
    </row>
    <row r="52" spans="1:10" ht="12.75" hidden="1" customHeight="1">
      <c r="A52" s="420"/>
      <c r="B52" s="446"/>
      <c r="C52" s="431" t="s">
        <v>510</v>
      </c>
      <c r="D52" s="415"/>
      <c r="E52" s="415"/>
      <c r="F52" s="411"/>
      <c r="G52" s="423"/>
      <c r="H52" s="482"/>
      <c r="I52" s="536"/>
      <c r="J52" s="471"/>
    </row>
    <row r="53" spans="1:10" ht="12.75" hidden="1" customHeight="1">
      <c r="A53" s="420"/>
      <c r="B53" s="446"/>
      <c r="C53" s="431" t="s">
        <v>1081</v>
      </c>
      <c r="D53" s="415"/>
      <c r="E53" s="415"/>
      <c r="F53" s="411"/>
      <c r="G53" s="423"/>
      <c r="H53" s="482"/>
      <c r="I53" s="536"/>
      <c r="J53" s="471"/>
    </row>
    <row r="54" spans="1:10" ht="12.75" hidden="1" customHeight="1">
      <c r="A54" s="420"/>
      <c r="B54" s="446"/>
      <c r="C54" s="431" t="s">
        <v>985</v>
      </c>
      <c r="D54" s="415"/>
      <c r="E54" s="415"/>
      <c r="F54" s="411"/>
      <c r="G54" s="423"/>
      <c r="H54" s="482"/>
      <c r="I54" s="536"/>
      <c r="J54" s="471"/>
    </row>
    <row r="55" spans="1:10" ht="12.75" hidden="1" customHeight="1">
      <c r="A55" s="420"/>
      <c r="B55" s="446"/>
      <c r="C55" s="431" t="s">
        <v>984</v>
      </c>
      <c r="D55" s="415"/>
      <c r="E55" s="415"/>
      <c r="F55" s="411"/>
      <c r="G55" s="423"/>
      <c r="H55" s="482"/>
      <c r="I55" s="536"/>
      <c r="J55" s="471"/>
    </row>
    <row r="56" spans="1:10" ht="12.75" customHeight="1">
      <c r="A56" s="420"/>
      <c r="B56" s="446"/>
      <c r="C56" s="431" t="s">
        <v>1149</v>
      </c>
      <c r="D56" s="415"/>
      <c r="E56" s="415"/>
      <c r="F56" s="411">
        <v>20000</v>
      </c>
      <c r="G56" s="423"/>
      <c r="H56" s="482"/>
      <c r="I56" s="536"/>
      <c r="J56" s="471"/>
    </row>
    <row r="57" spans="1:10" ht="12.75" customHeight="1">
      <c r="A57" s="420"/>
      <c r="B57" s="446"/>
      <c r="C57" s="431" t="s">
        <v>509</v>
      </c>
      <c r="D57" s="415"/>
      <c r="E57" s="415"/>
      <c r="F57" s="411">
        <v>110000</v>
      </c>
      <c r="G57" s="423"/>
      <c r="H57" s="482"/>
      <c r="I57" s="536"/>
      <c r="J57" s="471"/>
    </row>
    <row r="58" spans="1:10" ht="12.75" hidden="1" customHeight="1">
      <c r="A58" s="420"/>
      <c r="B58" s="446"/>
      <c r="C58" s="431" t="s">
        <v>986</v>
      </c>
      <c r="D58" s="415"/>
      <c r="E58" s="415"/>
      <c r="F58" s="411"/>
      <c r="G58" s="423"/>
      <c r="H58" s="482"/>
      <c r="I58" s="536"/>
      <c r="J58" s="471"/>
    </row>
    <row r="59" spans="1:10" ht="12.75" hidden="1" customHeight="1">
      <c r="A59" s="420"/>
      <c r="B59" s="446"/>
      <c r="C59" s="431" t="s">
        <v>987</v>
      </c>
      <c r="D59" s="415"/>
      <c r="E59" s="415"/>
      <c r="F59" s="411"/>
      <c r="G59" s="423"/>
      <c r="H59" s="482"/>
      <c r="I59" s="536"/>
      <c r="J59" s="471"/>
    </row>
    <row r="60" spans="1:10" ht="12.75" hidden="1" customHeight="1">
      <c r="A60" s="420"/>
      <c r="B60" s="446"/>
      <c r="C60" s="431" t="s">
        <v>988</v>
      </c>
      <c r="D60" s="415"/>
      <c r="E60" s="415"/>
      <c r="F60" s="411"/>
      <c r="G60" s="423"/>
      <c r="H60" s="482"/>
      <c r="I60" s="536"/>
      <c r="J60" s="471"/>
    </row>
    <row r="61" spans="1:10" ht="12.75" hidden="1" customHeight="1">
      <c r="A61" s="420"/>
      <c r="B61" s="446"/>
      <c r="C61" s="431" t="s">
        <v>989</v>
      </c>
      <c r="D61" s="415"/>
      <c r="E61" s="415"/>
      <c r="F61" s="411"/>
      <c r="G61" s="423"/>
      <c r="H61" s="482"/>
      <c r="I61" s="536"/>
      <c r="J61" s="471"/>
    </row>
    <row r="62" spans="1:10" ht="15" customHeight="1">
      <c r="A62" s="420"/>
      <c r="B62" s="446"/>
      <c r="C62" s="431"/>
      <c r="D62" s="415"/>
      <c r="E62" s="415"/>
      <c r="F62" s="448">
        <f>SUM(F56:F61)</f>
        <v>130000</v>
      </c>
      <c r="G62" s="415">
        <f>IF(F62&gt;150000,150000,F62)</f>
        <v>130000</v>
      </c>
      <c r="H62" s="482"/>
      <c r="I62" s="536"/>
      <c r="J62" s="471"/>
    </row>
    <row r="63" spans="1:10" ht="15" customHeight="1">
      <c r="A63" s="420"/>
      <c r="B63" s="446"/>
      <c r="C63" s="449" t="s">
        <v>1079</v>
      </c>
      <c r="D63" s="415"/>
      <c r="E63" s="415"/>
      <c r="F63" s="450"/>
      <c r="G63" s="411">
        <v>50000</v>
      </c>
      <c r="H63" s="482"/>
      <c r="I63" s="536"/>
      <c r="J63" s="471"/>
    </row>
    <row r="64" spans="1:10" ht="15" customHeight="1">
      <c r="A64" s="420"/>
      <c r="B64" s="446"/>
      <c r="C64" s="449" t="s">
        <v>852</v>
      </c>
      <c r="D64" s="408">
        <v>27000</v>
      </c>
      <c r="E64" s="415"/>
      <c r="F64" s="450"/>
      <c r="G64" s="411">
        <f>25000</f>
        <v>25000</v>
      </c>
      <c r="H64" s="482"/>
      <c r="I64" s="536"/>
      <c r="J64" s="471"/>
    </row>
    <row r="65" spans="1:13" ht="15" customHeight="1">
      <c r="A65" s="420"/>
      <c r="B65" s="446"/>
      <c r="C65" s="449" t="s">
        <v>852</v>
      </c>
      <c r="D65" s="408"/>
      <c r="E65" s="415"/>
      <c r="F65" s="450"/>
      <c r="G65" s="411">
        <v>5000</v>
      </c>
      <c r="H65" s="482"/>
      <c r="I65" s="536"/>
      <c r="J65" s="471"/>
    </row>
    <row r="66" spans="1:13" ht="15" customHeight="1">
      <c r="A66" s="420"/>
      <c r="B66" s="446"/>
      <c r="C66" s="449" t="s">
        <v>1216</v>
      </c>
      <c r="D66" s="415"/>
      <c r="E66" s="415" t="s">
        <v>1225</v>
      </c>
      <c r="F66" s="415"/>
      <c r="G66" s="411"/>
      <c r="H66" s="482"/>
      <c r="I66" s="536"/>
      <c r="J66" s="471"/>
    </row>
    <row r="67" spans="1:13" ht="15" customHeight="1">
      <c r="A67" s="420"/>
      <c r="B67" s="415"/>
      <c r="C67" s="676" t="s">
        <v>979</v>
      </c>
      <c r="D67" s="415"/>
      <c r="E67" s="428"/>
      <c r="F67" s="428"/>
      <c r="G67" s="447">
        <f>IF(G31&gt;10000, 10000, G31)</f>
        <v>0</v>
      </c>
      <c r="H67" s="482"/>
      <c r="I67" s="536"/>
      <c r="J67" s="471"/>
      <c r="L67" s="675"/>
    </row>
    <row r="68" spans="1:13">
      <c r="A68" s="420"/>
      <c r="B68" s="415"/>
      <c r="C68" s="543" t="s">
        <v>853</v>
      </c>
      <c r="D68" s="415"/>
      <c r="E68" s="428"/>
      <c r="F68" s="428"/>
      <c r="G68" s="411"/>
      <c r="H68" s="482">
        <f>SUM(G62:G68)</f>
        <v>210000</v>
      </c>
      <c r="I68" s="537">
        <f>IF(H68&lt;&gt;0,0,"NIL")</f>
        <v>0</v>
      </c>
      <c r="J68" s="472"/>
    </row>
    <row r="69" spans="1:13" ht="15.75" customHeight="1" thickBot="1">
      <c r="A69" s="420"/>
      <c r="B69" s="451" t="s">
        <v>777</v>
      </c>
      <c r="C69" s="415"/>
      <c r="D69" s="415"/>
      <c r="E69" s="452">
        <f>IF((H49-H68)&lt;0,0,(H49-H68))</f>
        <v>3963000</v>
      </c>
      <c r="F69" s="453" t="s">
        <v>779</v>
      </c>
      <c r="G69" s="440"/>
      <c r="H69" s="486">
        <f>ROUND((E69/10),0)*10</f>
        <v>3963000</v>
      </c>
      <c r="I69" s="539">
        <f>IF(H69&lt;&gt;0,0,"NIL")</f>
        <v>0</v>
      </c>
      <c r="J69" s="475"/>
      <c r="L69" s="685"/>
      <c r="M69" s="685"/>
    </row>
    <row r="70" spans="1:13" ht="15" customHeight="1" thickTop="1">
      <c r="A70" s="420"/>
      <c r="B70" s="450" t="s">
        <v>778</v>
      </c>
      <c r="C70" s="415"/>
      <c r="D70" s="415"/>
      <c r="E70" s="444" t="s">
        <v>521</v>
      </c>
      <c r="F70" s="454" t="s">
        <v>522</v>
      </c>
      <c r="G70" s="444" t="s">
        <v>524</v>
      </c>
      <c r="H70" s="487"/>
      <c r="J70" s="471"/>
    </row>
    <row r="71" spans="1:13" ht="15" customHeight="1">
      <c r="A71" s="420"/>
      <c r="B71" s="530" t="s">
        <v>1170</v>
      </c>
      <c r="C71" s="408" t="s">
        <v>518</v>
      </c>
      <c r="D71" s="415"/>
      <c r="E71" s="455">
        <f>H69-E74</f>
        <v>1589000</v>
      </c>
      <c r="F71" s="456"/>
      <c r="G71" s="415">
        <f>IF(+Data!D2="Senior",ROUND(IF(E71&gt;1000000,(((E71-1000000)*0.3)+120000),IF(E71&gt;500000,(((E71-500000)*0.2)+20000),IF(E71&gt;300000,((E71-300000)*0.1),0))),0),ROUND(IF(E71&gt;1000000,(((E71-1000000)*0.3)+125000),IF(E71&gt;500000,(((E71-500000)*0.2)+25000),IF(E71&gt;250000,((E71-250000)*0.1),0))),0))-5000</f>
        <v>296700</v>
      </c>
      <c r="H71" s="487"/>
      <c r="J71" s="471"/>
    </row>
    <row r="72" spans="1:13" ht="15" hidden="1" customHeight="1">
      <c r="A72" s="420"/>
      <c r="B72" s="450"/>
      <c r="C72" s="408" t="s">
        <v>518</v>
      </c>
      <c r="D72" s="415"/>
      <c r="E72" s="410"/>
      <c r="F72" s="457">
        <v>0.15</v>
      </c>
      <c r="G72" s="523"/>
      <c r="H72" s="484"/>
      <c r="J72" s="471"/>
    </row>
    <row r="73" spans="1:13" ht="15" hidden="1" customHeight="1">
      <c r="A73" s="420"/>
      <c r="B73" s="415"/>
      <c r="C73" s="408" t="s">
        <v>518</v>
      </c>
      <c r="D73" s="456"/>
      <c r="E73" s="428"/>
      <c r="F73" s="415"/>
      <c r="G73" s="526">
        <f>G71+G72</f>
        <v>296700</v>
      </c>
      <c r="H73" s="488"/>
      <c r="I73" s="537"/>
      <c r="J73" s="472"/>
    </row>
    <row r="74" spans="1:13" ht="15" customHeight="1">
      <c r="A74" s="420"/>
      <c r="B74" s="415"/>
      <c r="C74" s="408" t="s">
        <v>519</v>
      </c>
      <c r="D74" s="456"/>
      <c r="E74" s="684">
        <f>+H29</f>
        <v>2374000</v>
      </c>
      <c r="F74" s="678">
        <v>0.1</v>
      </c>
      <c r="G74" s="526">
        <f>ROUND(E74*F74,0)</f>
        <v>237400</v>
      </c>
      <c r="H74" s="488"/>
      <c r="I74" s="537"/>
      <c r="J74" s="472"/>
    </row>
    <row r="75" spans="1:13" ht="15" hidden="1" customHeight="1">
      <c r="A75" s="420"/>
      <c r="B75" s="415"/>
      <c r="C75" s="408"/>
      <c r="D75" s="456"/>
      <c r="E75" s="684"/>
      <c r="F75" s="678"/>
      <c r="G75" s="526">
        <f>ROUND(E75*F75,0)</f>
        <v>0</v>
      </c>
      <c r="H75" s="488"/>
      <c r="I75" s="537"/>
      <c r="J75" s="472"/>
    </row>
    <row r="76" spans="1:13" ht="15" customHeight="1">
      <c r="A76" s="420"/>
      <c r="C76" s="524"/>
      <c r="D76" s="456"/>
      <c r="E76" s="428"/>
      <c r="F76" s="415"/>
      <c r="G76" s="527">
        <f>IF(H69&gt;500000,0,IF(G73&gt;2000,2000,G73))</f>
        <v>0</v>
      </c>
      <c r="H76" s="489">
        <f>G73+G74</f>
        <v>534100</v>
      </c>
      <c r="I76" s="537">
        <f>IF(H76&lt;&gt;0,0,"NIL")</f>
        <v>0</v>
      </c>
      <c r="J76" s="472"/>
    </row>
    <row r="77" spans="1:13" ht="15" customHeight="1">
      <c r="A77" s="420"/>
      <c r="B77" s="408" t="s">
        <v>774</v>
      </c>
      <c r="C77" s="415"/>
      <c r="D77" s="456"/>
      <c r="E77" s="428"/>
      <c r="F77" s="415"/>
      <c r="G77" s="428"/>
      <c r="H77" s="489">
        <f>ROUND((H76)*0.02,0)</f>
        <v>10682</v>
      </c>
      <c r="I77" s="537">
        <f>IF(H77&lt;&gt;0,0,"NIL")</f>
        <v>0</v>
      </c>
      <c r="J77" s="472"/>
    </row>
    <row r="78" spans="1:13" ht="15" customHeight="1">
      <c r="A78" s="420"/>
      <c r="B78" s="408" t="s">
        <v>775</v>
      </c>
      <c r="C78" s="415"/>
      <c r="D78" s="456"/>
      <c r="E78" s="458"/>
      <c r="F78" s="415"/>
      <c r="G78" s="428"/>
      <c r="H78" s="528">
        <f>ROUND((H76)*0.01,0)</f>
        <v>5341</v>
      </c>
      <c r="I78" s="540">
        <f>IF(H78&lt;&gt;0,0,"NIL")</f>
        <v>0</v>
      </c>
      <c r="J78" s="474"/>
    </row>
    <row r="79" spans="1:13" ht="15" customHeight="1">
      <c r="A79" s="420"/>
      <c r="B79" s="450" t="s">
        <v>565</v>
      </c>
      <c r="C79" s="415"/>
      <c r="D79" s="456"/>
      <c r="E79" s="458"/>
      <c r="F79" s="415"/>
      <c r="G79" s="428"/>
      <c r="H79" s="488">
        <f>SUM(H76:H78)</f>
        <v>550123</v>
      </c>
      <c r="I79" s="537"/>
      <c r="J79" s="472"/>
    </row>
    <row r="80" spans="1:13" ht="15" hidden="1" customHeight="1">
      <c r="A80" s="420"/>
      <c r="B80" s="427"/>
      <c r="C80" s="428"/>
      <c r="D80" s="428"/>
      <c r="E80" s="428"/>
      <c r="F80" s="428"/>
      <c r="G80" s="428"/>
      <c r="H80" s="528"/>
      <c r="I80" s="540"/>
      <c r="J80" s="473"/>
    </row>
    <row r="81" spans="1:11" ht="15" hidden="1" customHeight="1">
      <c r="A81" s="420"/>
      <c r="B81" s="450"/>
      <c r="C81" s="428"/>
      <c r="D81" s="428"/>
      <c r="E81" s="428"/>
      <c r="F81" s="428"/>
      <c r="G81" s="428"/>
      <c r="H81" s="491">
        <f>H79+H80</f>
        <v>550123</v>
      </c>
      <c r="I81" s="537"/>
      <c r="J81" s="472"/>
    </row>
    <row r="82" spans="1:11" ht="15" customHeight="1">
      <c r="A82" s="420"/>
      <c r="B82" s="415" t="s">
        <v>1202</v>
      </c>
      <c r="C82" s="428"/>
      <c r="D82" s="428"/>
      <c r="E82" s="428"/>
      <c r="F82" s="428"/>
      <c r="G82" s="428"/>
      <c r="H82" s="492">
        <f>ROUND(H79*12/100,0)*0</f>
        <v>0</v>
      </c>
      <c r="I82" s="540" t="str">
        <f>IF(H82&lt;&gt;0,0,"NIL")</f>
        <v>NIL</v>
      </c>
      <c r="J82" s="473"/>
    </row>
    <row r="83" spans="1:11" ht="15" customHeight="1">
      <c r="A83" s="420"/>
      <c r="B83" s="450" t="s">
        <v>768</v>
      </c>
      <c r="C83" s="428"/>
      <c r="D83" s="428"/>
      <c r="E83" s="428"/>
      <c r="F83" s="428"/>
      <c r="G83" s="428"/>
      <c r="H83" s="490">
        <f>H81+H82</f>
        <v>550123</v>
      </c>
      <c r="I83" s="537">
        <f>IF(H83&lt;&gt;0,0,"NIL")</f>
        <v>0</v>
      </c>
      <c r="J83" s="472"/>
    </row>
    <row r="84" spans="1:11" ht="15" customHeight="1">
      <c r="A84" s="420"/>
      <c r="B84" s="421" t="s">
        <v>571</v>
      </c>
      <c r="C84" s="428"/>
      <c r="D84" s="428"/>
      <c r="E84" s="428"/>
      <c r="F84" s="428"/>
      <c r="G84" s="428"/>
      <c r="H84" s="490"/>
      <c r="I84" s="537"/>
      <c r="J84" s="471"/>
    </row>
    <row r="85" spans="1:11" ht="15" customHeight="1">
      <c r="A85" s="420"/>
      <c r="B85" s="667"/>
      <c r="C85" s="1115" t="s">
        <v>993</v>
      </c>
      <c r="D85" s="1115"/>
      <c r="E85" s="1115"/>
      <c r="F85" s="1115"/>
      <c r="G85" s="447">
        <v>5000</v>
      </c>
      <c r="H85" s="482"/>
      <c r="I85" s="536"/>
      <c r="J85" s="472"/>
    </row>
    <row r="86" spans="1:11" ht="15" customHeight="1">
      <c r="A86" s="420"/>
      <c r="B86" s="588">
        <f>SUM(G85:G86)</f>
        <v>132000</v>
      </c>
      <c r="C86" s="1115" t="s">
        <v>1180</v>
      </c>
      <c r="D86" s="1115"/>
      <c r="E86" s="1115"/>
      <c r="F86" s="1115"/>
      <c r="G86" s="410">
        <v>127000</v>
      </c>
      <c r="H86" s="482"/>
      <c r="I86" s="536"/>
      <c r="J86" s="472"/>
    </row>
    <row r="87" spans="1:11" ht="12.75" customHeight="1" thickBot="1">
      <c r="A87" s="414"/>
      <c r="B87" s="477"/>
      <c r="C87" s="1117" t="s">
        <v>1229</v>
      </c>
      <c r="D87" s="1117"/>
      <c r="E87" s="1117"/>
      <c r="F87" s="1117"/>
      <c r="G87" s="481">
        <f>36000+382123</f>
        <v>418123</v>
      </c>
      <c r="H87" s="493">
        <f>SUM(G85:G87)</f>
        <v>550123</v>
      </c>
      <c r="I87" s="541">
        <f>IF(H87&lt;&gt;0,0,"NIL")</f>
        <v>0</v>
      </c>
      <c r="J87" s="478"/>
    </row>
    <row r="88" spans="1:11" ht="18" customHeight="1" thickBot="1">
      <c r="A88" s="494"/>
      <c r="B88" s="495" t="str">
        <f>IF(H88=0,"TAX  PAYABLE / REFUND ",IF(H88&lt;0,"REFUND","TAX  PAYABLE"))</f>
        <v xml:space="preserve">TAX  PAYABLE / REFUND </v>
      </c>
      <c r="C88" s="496"/>
      <c r="D88" s="496"/>
      <c r="E88" s="497"/>
      <c r="F88" s="498" t="s">
        <v>776</v>
      </c>
      <c r="G88" s="497"/>
      <c r="H88" s="499">
        <f>H83-H87</f>
        <v>0</v>
      </c>
      <c r="I88" s="542" t="str">
        <f>IF(H88&lt;&gt;0,0,"NIL")</f>
        <v>NIL</v>
      </c>
      <c r="J88" s="500"/>
    </row>
    <row r="89" spans="1:11">
      <c r="A89" s="567"/>
      <c r="B89" s="570"/>
      <c r="C89" s="570"/>
      <c r="D89" s="570"/>
      <c r="E89" s="570"/>
      <c r="F89" s="570"/>
      <c r="G89" s="570"/>
      <c r="H89" s="570"/>
      <c r="I89" s="568"/>
      <c r="J89" s="569"/>
      <c r="K89" s="554"/>
    </row>
    <row r="90" spans="1:11">
      <c r="A90" s="567"/>
      <c r="B90" s="554"/>
      <c r="C90" s="554"/>
      <c r="D90" s="554"/>
      <c r="E90" s="554"/>
      <c r="F90" s="554"/>
      <c r="G90" s="554"/>
      <c r="H90" s="554"/>
      <c r="I90" s="568"/>
      <c r="J90" s="569"/>
      <c r="K90" s="554"/>
    </row>
    <row r="91" spans="1:11">
      <c r="A91" s="567"/>
      <c r="B91" s="554"/>
      <c r="C91" s="554"/>
      <c r="D91" s="554"/>
      <c r="E91" s="554"/>
      <c r="F91" s="554"/>
      <c r="G91" s="554"/>
      <c r="H91" s="554"/>
      <c r="I91" s="568"/>
      <c r="J91" s="569"/>
      <c r="K91" s="554"/>
    </row>
    <row r="92" spans="1:11">
      <c r="A92" s="567"/>
      <c r="B92" s="554"/>
      <c r="C92" s="554"/>
      <c r="D92" s="554"/>
      <c r="E92" s="554"/>
      <c r="F92" s="554"/>
      <c r="G92" s="554"/>
      <c r="H92" s="554"/>
      <c r="I92" s="568"/>
      <c r="J92" s="569"/>
      <c r="K92" s="554"/>
    </row>
    <row r="93" spans="1:11">
      <c r="A93" s="567"/>
      <c r="B93" s="554"/>
      <c r="C93" s="554"/>
      <c r="D93" s="554"/>
      <c r="E93" s="554"/>
      <c r="F93" s="554"/>
      <c r="G93" s="554"/>
      <c r="H93" s="554"/>
      <c r="I93" s="568"/>
      <c r="J93" s="569"/>
      <c r="K93" s="554"/>
    </row>
    <row r="94" spans="1:11">
      <c r="A94" s="567"/>
      <c r="B94" s="554"/>
      <c r="C94" s="554"/>
      <c r="D94" s="554"/>
      <c r="E94" s="554"/>
      <c r="F94" s="554"/>
      <c r="G94" s="554"/>
      <c r="H94" s="554"/>
      <c r="I94" s="568"/>
      <c r="J94" s="569"/>
      <c r="K94" s="554"/>
    </row>
  </sheetData>
  <mergeCells count="5">
    <mergeCell ref="A1:J1"/>
    <mergeCell ref="A2:J2"/>
    <mergeCell ref="C85:F85"/>
    <mergeCell ref="C86:F86"/>
    <mergeCell ref="C87:F87"/>
  </mergeCells>
  <conditionalFormatting sqref="F72">
    <cfRule type="expression" dxfId="1" priority="1" stopIfTrue="1">
      <formula>"""$E$55=0"""</formula>
    </cfRule>
  </conditionalFormatting>
  <dataValidations count="2">
    <dataValidation type="list" errorStyle="information" allowBlank="1" showInputMessage="1" showErrorMessage="1" sqref="C54">
      <formula1>"ICICI PRUDENTIAL PREM, BAJAJ ALLIANZ LIFE INSURANCE PREM., LIC  PREMIUM, ULIP PREMIUM"</formula1>
    </dataValidation>
    <dataValidation type="list" errorStyle="information" allowBlank="1" showInputMessage="1" showErrorMessage="1" sqref="D4:D6">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8"/>
  <sheetViews>
    <sheetView workbookViewId="0">
      <selection activeCell="H34" sqref="H34"/>
    </sheetView>
  </sheetViews>
  <sheetFormatPr defaultRowHeight="30" customHeight="1"/>
  <cols>
    <col min="1" max="1" width="7" style="58" customWidth="1"/>
    <col min="2" max="2" width="29.42578125" customWidth="1"/>
    <col min="3" max="3" width="20.5703125" customWidth="1"/>
    <col min="4" max="4" width="19.28515625" customWidth="1"/>
    <col min="5" max="5" width="25.42578125" customWidth="1"/>
    <col min="6" max="6" width="16.42578125" customWidth="1"/>
    <col min="7" max="7" width="20" customWidth="1"/>
  </cols>
  <sheetData>
    <row r="1" spans="1:7" ht="30" customHeight="1">
      <c r="A1" s="1118" t="s">
        <v>1441</v>
      </c>
      <c r="B1" s="1118"/>
      <c r="C1" s="1118"/>
      <c r="D1" s="1118"/>
      <c r="E1" s="1118"/>
      <c r="F1" s="1118"/>
      <c r="G1" s="1118"/>
    </row>
    <row r="2" spans="1:7" ht="30" customHeight="1">
      <c r="A2" s="756" t="s">
        <v>1437</v>
      </c>
      <c r="B2" s="756" t="s">
        <v>1095</v>
      </c>
      <c r="C2" s="756" t="s">
        <v>1297</v>
      </c>
      <c r="D2" s="756" t="s">
        <v>1106</v>
      </c>
      <c r="E2" s="756" t="s">
        <v>1438</v>
      </c>
      <c r="F2" s="757" t="s">
        <v>1439</v>
      </c>
      <c r="G2" s="756" t="s">
        <v>1440</v>
      </c>
    </row>
    <row r="3" spans="1:7" ht="30" customHeight="1">
      <c r="A3" s="759">
        <v>1</v>
      </c>
      <c r="B3" s="758"/>
      <c r="C3" s="758"/>
      <c r="D3" s="758"/>
      <c r="E3" s="758"/>
      <c r="F3" s="758"/>
      <c r="G3" s="758"/>
    </row>
    <row r="4" spans="1:7" ht="30" customHeight="1">
      <c r="A4" s="759">
        <v>2</v>
      </c>
      <c r="B4" s="758"/>
      <c r="C4" s="758"/>
      <c r="D4" s="758"/>
      <c r="E4" s="758"/>
      <c r="F4" s="758"/>
      <c r="G4" s="758"/>
    </row>
    <row r="5" spans="1:7" ht="30" customHeight="1">
      <c r="A5" s="759">
        <v>3</v>
      </c>
      <c r="B5" s="758"/>
      <c r="C5" s="758"/>
      <c r="D5" s="758"/>
      <c r="E5" s="758"/>
      <c r="F5" s="758"/>
      <c r="G5" s="758"/>
    </row>
    <row r="6" spans="1:7" ht="30" customHeight="1">
      <c r="A6" s="759">
        <v>4</v>
      </c>
      <c r="B6" s="758"/>
      <c r="C6" s="758"/>
      <c r="D6" s="758"/>
      <c r="E6" s="758"/>
      <c r="F6" s="758"/>
      <c r="G6" s="758"/>
    </row>
    <row r="7" spans="1:7" ht="30" customHeight="1">
      <c r="A7" s="759">
        <v>5</v>
      </c>
      <c r="B7" s="758"/>
      <c r="C7" s="758"/>
      <c r="D7" s="758"/>
      <c r="E7" s="758"/>
      <c r="F7" s="758"/>
      <c r="G7" s="758"/>
    </row>
    <row r="8" spans="1:7" ht="30" customHeight="1">
      <c r="A8" s="759">
        <v>6</v>
      </c>
      <c r="B8" s="758"/>
      <c r="C8" s="758"/>
      <c r="D8" s="758"/>
      <c r="E8" s="758"/>
      <c r="F8" s="758"/>
      <c r="G8" s="758"/>
    </row>
    <row r="9" spans="1:7" ht="30" customHeight="1">
      <c r="A9" s="759">
        <v>7</v>
      </c>
      <c r="B9" s="758"/>
      <c r="C9" s="758"/>
      <c r="D9" s="758"/>
      <c r="E9" s="758"/>
      <c r="F9" s="758"/>
      <c r="G9" s="758"/>
    </row>
    <row r="10" spans="1:7" ht="30" customHeight="1">
      <c r="A10" s="759">
        <v>8</v>
      </c>
      <c r="B10" s="758"/>
      <c r="C10" s="758"/>
      <c r="D10" s="758"/>
      <c r="E10" s="758"/>
      <c r="F10" s="758"/>
      <c r="G10" s="758"/>
    </row>
    <row r="11" spans="1:7" ht="30" customHeight="1">
      <c r="A11" s="759">
        <v>9</v>
      </c>
      <c r="B11" s="758"/>
      <c r="C11" s="758"/>
      <c r="D11" s="758"/>
      <c r="E11" s="758"/>
      <c r="F11" s="758"/>
      <c r="G11" s="758"/>
    </row>
    <row r="12" spans="1:7" ht="30" customHeight="1">
      <c r="A12" s="759">
        <v>10</v>
      </c>
      <c r="B12" s="758"/>
      <c r="C12" s="758"/>
      <c r="D12" s="758"/>
      <c r="E12" s="758"/>
      <c r="F12" s="758"/>
      <c r="G12" s="758"/>
    </row>
    <row r="13" spans="1:7" ht="30" customHeight="1">
      <c r="A13" s="759">
        <v>11</v>
      </c>
      <c r="B13" s="758"/>
      <c r="C13" s="758"/>
      <c r="D13" s="758"/>
      <c r="E13" s="758"/>
      <c r="F13" s="758"/>
      <c r="G13" s="758"/>
    </row>
    <row r="14" spans="1:7" ht="30" customHeight="1">
      <c r="A14" s="759">
        <v>12</v>
      </c>
      <c r="B14" s="758"/>
      <c r="C14" s="758"/>
      <c r="D14" s="758"/>
      <c r="E14" s="758"/>
      <c r="F14" s="758"/>
      <c r="G14" s="758"/>
    </row>
    <row r="15" spans="1:7" ht="30" customHeight="1">
      <c r="A15" s="759">
        <v>13</v>
      </c>
      <c r="B15" s="758"/>
      <c r="C15" s="758"/>
      <c r="D15" s="758"/>
      <c r="E15" s="758"/>
      <c r="F15" s="758"/>
      <c r="G15" s="758"/>
    </row>
    <row r="16" spans="1:7" ht="30" customHeight="1">
      <c r="A16" s="759">
        <v>14</v>
      </c>
      <c r="B16" s="758"/>
      <c r="C16" s="758"/>
      <c r="D16" s="758"/>
      <c r="E16" s="758"/>
      <c r="F16" s="758"/>
      <c r="G16" s="758"/>
    </row>
    <row r="17" spans="1:7" ht="30" customHeight="1">
      <c r="A17" s="759">
        <v>15</v>
      </c>
      <c r="B17" s="758"/>
      <c r="C17" s="758"/>
      <c r="D17" s="758"/>
      <c r="E17" s="758"/>
      <c r="F17" s="758"/>
      <c r="G17" s="758"/>
    </row>
    <row r="18" spans="1:7" ht="30" customHeight="1">
      <c r="A18" s="759">
        <v>16</v>
      </c>
      <c r="B18" s="758"/>
      <c r="C18" s="758"/>
      <c r="D18" s="758"/>
      <c r="E18" s="758"/>
      <c r="F18" s="758"/>
      <c r="G18" s="758"/>
    </row>
    <row r="19" spans="1:7" ht="30" customHeight="1">
      <c r="A19" s="759">
        <v>17</v>
      </c>
      <c r="B19" s="758"/>
      <c r="C19" s="758"/>
      <c r="D19" s="758"/>
      <c r="E19" s="758"/>
      <c r="F19" s="758"/>
      <c r="G19" s="758"/>
    </row>
    <row r="20" spans="1:7" ht="30" customHeight="1">
      <c r="A20" s="1118" t="s">
        <v>1441</v>
      </c>
      <c r="B20" s="1118"/>
      <c r="C20" s="1118"/>
      <c r="D20" s="1118"/>
      <c r="E20" s="1118"/>
      <c r="F20" s="1118"/>
      <c r="G20" s="1118"/>
    </row>
    <row r="21" spans="1:7" ht="30" customHeight="1">
      <c r="A21" s="756" t="s">
        <v>1437</v>
      </c>
      <c r="B21" s="756" t="s">
        <v>1095</v>
      </c>
      <c r="C21" s="756" t="s">
        <v>1297</v>
      </c>
      <c r="D21" s="756" t="s">
        <v>1106</v>
      </c>
      <c r="E21" s="756" t="s">
        <v>1438</v>
      </c>
      <c r="F21" s="757" t="s">
        <v>1439</v>
      </c>
      <c r="G21" s="756" t="s">
        <v>1440</v>
      </c>
    </row>
    <row r="22" spans="1:7" ht="30" customHeight="1">
      <c r="A22" s="759">
        <v>18</v>
      </c>
      <c r="B22" s="758"/>
      <c r="C22" s="758"/>
      <c r="D22" s="758"/>
      <c r="E22" s="758"/>
      <c r="F22" s="758"/>
      <c r="G22" s="758"/>
    </row>
    <row r="23" spans="1:7" ht="30" customHeight="1">
      <c r="A23" s="759">
        <v>19</v>
      </c>
      <c r="B23" s="758"/>
      <c r="C23" s="758"/>
      <c r="D23" s="758"/>
      <c r="E23" s="758"/>
      <c r="F23" s="758"/>
      <c r="G23" s="758"/>
    </row>
    <row r="24" spans="1:7" ht="30" customHeight="1">
      <c r="A24" s="759">
        <v>20</v>
      </c>
      <c r="B24" s="758"/>
      <c r="C24" s="758"/>
      <c r="D24" s="758"/>
      <c r="E24" s="758"/>
      <c r="F24" s="758"/>
      <c r="G24" s="758"/>
    </row>
    <row r="25" spans="1:7" ht="30" customHeight="1">
      <c r="A25" s="759">
        <v>21</v>
      </c>
      <c r="B25" s="758"/>
      <c r="C25" s="758"/>
      <c r="D25" s="758"/>
      <c r="E25" s="758"/>
      <c r="F25" s="758"/>
      <c r="G25" s="758"/>
    </row>
    <row r="26" spans="1:7" ht="30" customHeight="1">
      <c r="A26" s="759">
        <v>22</v>
      </c>
      <c r="B26" s="758"/>
      <c r="C26" s="758"/>
      <c r="D26" s="758"/>
      <c r="E26" s="758"/>
      <c r="F26" s="758"/>
      <c r="G26" s="758"/>
    </row>
    <row r="27" spans="1:7" ht="30" customHeight="1">
      <c r="A27" s="759">
        <v>23</v>
      </c>
      <c r="B27" s="758"/>
      <c r="C27" s="758"/>
      <c r="D27" s="758"/>
      <c r="E27" s="758"/>
      <c r="F27" s="758"/>
      <c r="G27" s="758"/>
    </row>
    <row r="28" spans="1:7" ht="30" customHeight="1">
      <c r="A28" s="759">
        <v>24</v>
      </c>
      <c r="B28" s="758"/>
      <c r="C28" s="758"/>
      <c r="D28" s="758"/>
      <c r="E28" s="758"/>
      <c r="F28" s="758"/>
      <c r="G28" s="758"/>
    </row>
    <row r="29" spans="1:7" ht="30" customHeight="1">
      <c r="A29" s="759">
        <v>25</v>
      </c>
      <c r="B29" s="758"/>
      <c r="C29" s="758"/>
      <c r="D29" s="758"/>
      <c r="E29" s="758"/>
      <c r="F29" s="758"/>
      <c r="G29" s="758"/>
    </row>
    <row r="30" spans="1:7" ht="30" customHeight="1">
      <c r="A30" s="759">
        <v>26</v>
      </c>
      <c r="B30" s="758"/>
      <c r="C30" s="758"/>
      <c r="D30" s="758"/>
      <c r="E30" s="758"/>
      <c r="F30" s="758"/>
      <c r="G30" s="758"/>
    </row>
    <row r="31" spans="1:7" ht="30" customHeight="1">
      <c r="A31" s="759">
        <v>27</v>
      </c>
      <c r="B31" s="758"/>
      <c r="C31" s="758"/>
      <c r="D31" s="758"/>
      <c r="E31" s="758"/>
      <c r="F31" s="758"/>
      <c r="G31" s="758"/>
    </row>
    <row r="32" spans="1:7" ht="30" customHeight="1">
      <c r="A32" s="759">
        <v>28</v>
      </c>
      <c r="B32" s="758"/>
      <c r="C32" s="758"/>
      <c r="D32" s="758"/>
      <c r="E32" s="758"/>
      <c r="F32" s="758"/>
      <c r="G32" s="758"/>
    </row>
    <row r="33" spans="1:7" ht="30" customHeight="1">
      <c r="A33" s="759">
        <v>29</v>
      </c>
      <c r="B33" s="758"/>
      <c r="C33" s="758"/>
      <c r="D33" s="758"/>
      <c r="E33" s="758"/>
      <c r="F33" s="758"/>
      <c r="G33" s="758"/>
    </row>
    <row r="34" spans="1:7" ht="30" customHeight="1">
      <c r="A34" s="759">
        <v>30</v>
      </c>
      <c r="B34" s="758"/>
      <c r="C34" s="758"/>
      <c r="D34" s="758"/>
      <c r="E34" s="758"/>
      <c r="F34" s="758"/>
      <c r="G34" s="758"/>
    </row>
    <row r="35" spans="1:7" ht="30" customHeight="1">
      <c r="A35" s="759">
        <v>31</v>
      </c>
      <c r="B35" s="758"/>
      <c r="C35" s="758"/>
      <c r="D35" s="758"/>
      <c r="E35" s="758"/>
      <c r="F35" s="758"/>
      <c r="G35" s="758"/>
    </row>
    <row r="36" spans="1:7" ht="30" customHeight="1">
      <c r="A36" s="759">
        <v>32</v>
      </c>
      <c r="B36" s="758"/>
      <c r="C36" s="758"/>
      <c r="D36" s="758"/>
      <c r="E36" s="758"/>
      <c r="F36" s="758"/>
      <c r="G36" s="758"/>
    </row>
    <row r="37" spans="1:7" ht="30" customHeight="1">
      <c r="A37" s="759">
        <v>33</v>
      </c>
      <c r="B37" s="758"/>
      <c r="C37" s="758"/>
      <c r="D37" s="758"/>
      <c r="E37" s="758"/>
      <c r="F37" s="758"/>
      <c r="G37" s="758"/>
    </row>
    <row r="38" spans="1:7" ht="30" customHeight="1">
      <c r="A38" s="759">
        <v>34</v>
      </c>
      <c r="B38" s="758"/>
      <c r="C38" s="758"/>
      <c r="D38" s="758"/>
      <c r="E38" s="758"/>
      <c r="F38" s="758"/>
      <c r="G38" s="758"/>
    </row>
  </sheetData>
  <mergeCells count="2">
    <mergeCell ref="A1:G1"/>
    <mergeCell ref="A20:G20"/>
  </mergeCells>
  <pageMargins left="0.39370078740157483" right="0.11811023622047245" top="0.15748031496062992" bottom="0.15748031496062992" header="0.31496062992125984" footer="0.31496062992125984"/>
  <pageSetup paperSize="9" orientation="landscape" r:id="rId1"/>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65"/>
  <sheetViews>
    <sheetView showZeros="0" topLeftCell="A31" zoomScale="130" zoomScaleNormal="130" workbookViewId="0">
      <selection activeCell="G9" sqref="G9"/>
    </sheetView>
  </sheetViews>
  <sheetFormatPr defaultColWidth="9.140625" defaultRowHeight="12.75"/>
  <cols>
    <col min="1" max="1" width="2.42578125" style="460" customWidth="1"/>
    <col min="2" max="2" width="9.5703125" style="416" customWidth="1"/>
    <col min="3" max="3" width="12.28515625" style="416" customWidth="1"/>
    <col min="4" max="4" width="10.85546875" style="416" customWidth="1"/>
    <col min="5" max="5" width="13.85546875" style="416" customWidth="1"/>
    <col min="6" max="6" width="11.42578125" style="416" customWidth="1"/>
    <col min="7" max="7" width="11.5703125" style="416" customWidth="1"/>
    <col min="8" max="8" width="11.140625" style="416" customWidth="1"/>
    <col min="9" max="9" width="1.85546875" style="476" customWidth="1"/>
    <col min="10" max="10" width="1.42578125" style="416" customWidth="1"/>
    <col min="11" max="11" width="22.7109375" style="416" customWidth="1"/>
    <col min="12" max="12" width="10.42578125" style="416" customWidth="1"/>
    <col min="13" max="13" width="19.85546875" style="416" customWidth="1"/>
    <col min="14" max="14" width="11.5703125" style="416" customWidth="1"/>
    <col min="15" max="16384" width="9.140625" style="416"/>
  </cols>
  <sheetData>
    <row r="1" spans="1:15" s="413" customFormat="1" ht="18.75" customHeight="1">
      <c r="A1" s="1124" t="s">
        <v>1709</v>
      </c>
      <c r="B1" s="1125"/>
      <c r="C1" s="1126"/>
      <c r="D1" s="1130" t="s">
        <v>1781</v>
      </c>
      <c r="E1" s="1131"/>
      <c r="F1" s="1131"/>
      <c r="G1" s="1131"/>
      <c r="H1" s="1131"/>
      <c r="I1" s="1132"/>
      <c r="K1" s="1121" t="s">
        <v>1705</v>
      </c>
      <c r="L1" s="1121"/>
      <c r="M1" s="1121"/>
      <c r="N1" s="1121"/>
    </row>
    <row r="2" spans="1:15" ht="18" customHeight="1" thickBot="1">
      <c r="A2" s="1127" t="s">
        <v>1780</v>
      </c>
      <c r="B2" s="1128"/>
      <c r="C2" s="1129"/>
      <c r="D2" s="1111" t="s">
        <v>562</v>
      </c>
      <c r="E2" s="1112"/>
      <c r="F2" s="1112"/>
      <c r="G2" s="1112"/>
      <c r="H2" s="1112"/>
      <c r="I2" s="1113"/>
      <c r="K2" s="416" t="s">
        <v>1679</v>
      </c>
      <c r="L2" s="416">
        <v>90000</v>
      </c>
      <c r="M2" s="416" t="s">
        <v>1677</v>
      </c>
      <c r="N2" s="416">
        <v>8600000</v>
      </c>
    </row>
    <row r="3" spans="1:15" ht="20.100000000000001" customHeight="1">
      <c r="A3" s="417"/>
      <c r="B3" s="418" t="s">
        <v>994</v>
      </c>
      <c r="C3" s="419"/>
      <c r="D3" s="419"/>
      <c r="E3" s="419"/>
      <c r="F3" s="419"/>
      <c r="G3" s="419"/>
      <c r="H3" s="501" t="s">
        <v>1013</v>
      </c>
      <c r="I3" s="470"/>
      <c r="K3" s="416" t="s">
        <v>1680</v>
      </c>
      <c r="L3" s="416">
        <v>8600000</v>
      </c>
      <c r="M3" s="416" t="s">
        <v>1678</v>
      </c>
      <c r="N3" s="416">
        <v>1208000</v>
      </c>
    </row>
    <row r="4" spans="1:15" ht="15" customHeight="1">
      <c r="A4" s="420"/>
      <c r="B4" s="421"/>
      <c r="C4" s="422" t="s">
        <v>567</v>
      </c>
      <c r="D4" s="422"/>
      <c r="E4" s="431"/>
      <c r="F4" s="423"/>
      <c r="G4" s="411"/>
      <c r="H4" s="482"/>
      <c r="I4" s="471"/>
      <c r="K4" s="968" t="s">
        <v>1712</v>
      </c>
      <c r="L4" s="969">
        <f>L5-L2-L3</f>
        <v>1118000</v>
      </c>
      <c r="M4" s="895" t="s">
        <v>1588</v>
      </c>
    </row>
    <row r="5" spans="1:15" ht="15" customHeight="1" thickBot="1">
      <c r="A5" s="420"/>
      <c r="B5" s="415"/>
      <c r="C5" s="408" t="s">
        <v>1716</v>
      </c>
      <c r="D5" s="415"/>
      <c r="E5" s="415"/>
      <c r="F5" s="415"/>
      <c r="G5" s="523"/>
      <c r="H5" s="482">
        <f>SUM(G4:G5)</f>
        <v>0</v>
      </c>
      <c r="I5" s="472"/>
      <c r="K5" s="712"/>
      <c r="L5" s="712">
        <f>+N5</f>
        <v>9808000</v>
      </c>
      <c r="M5" s="712"/>
      <c r="N5" s="712">
        <f>N2+N3</f>
        <v>9808000</v>
      </c>
    </row>
    <row r="6" spans="1:15" ht="15" customHeight="1" thickTop="1">
      <c r="A6" s="420"/>
      <c r="B6" s="1133" t="s">
        <v>1715</v>
      </c>
      <c r="C6" s="1133"/>
      <c r="D6" s="1133"/>
      <c r="E6" s="1133"/>
      <c r="F6" s="423"/>
      <c r="G6" s="415"/>
      <c r="H6" s="482"/>
      <c r="I6" s="472"/>
      <c r="K6" s="416" t="s">
        <v>1681</v>
      </c>
      <c r="L6" s="416">
        <v>890000</v>
      </c>
      <c r="M6" s="972" t="s">
        <v>1713</v>
      </c>
      <c r="N6" s="971">
        <f>+L4</f>
        <v>1118000</v>
      </c>
      <c r="O6" s="959" t="s">
        <v>1706</v>
      </c>
    </row>
    <row r="7" spans="1:15" ht="15" customHeight="1">
      <c r="A7" s="420"/>
      <c r="B7" s="426"/>
      <c r="C7" s="415" t="s">
        <v>1714</v>
      </c>
      <c r="D7" s="415"/>
      <c r="E7" s="525"/>
      <c r="F7" s="423"/>
      <c r="G7" s="415"/>
      <c r="H7" s="482"/>
      <c r="I7" s="472"/>
      <c r="K7" s="416" t="s">
        <v>1682</v>
      </c>
      <c r="L7" s="416">
        <v>40000</v>
      </c>
    </row>
    <row r="8" spans="1:15" ht="15" customHeight="1">
      <c r="A8" s="420"/>
      <c r="B8" s="426"/>
      <c r="C8" s="583" t="s">
        <v>1164</v>
      </c>
      <c r="D8" s="422"/>
      <c r="E8" s="672"/>
      <c r="F8" s="679"/>
      <c r="G8" s="411">
        <v>2700000</v>
      </c>
      <c r="H8" s="482"/>
      <c r="I8" s="472"/>
      <c r="K8" s="416" t="s">
        <v>1703</v>
      </c>
      <c r="L8" s="897">
        <v>96000</v>
      </c>
    </row>
    <row r="9" spans="1:15" ht="15" customHeight="1">
      <c r="A9" s="420"/>
      <c r="B9" s="426"/>
      <c r="C9" s="408" t="s">
        <v>769</v>
      </c>
      <c r="D9" s="415"/>
      <c r="E9" s="408" t="s">
        <v>1250</v>
      </c>
      <c r="F9" s="703">
        <v>120000</v>
      </c>
      <c r="G9" s="479"/>
      <c r="H9" s="482"/>
      <c r="I9" s="472"/>
      <c r="K9" s="762" t="s">
        <v>1704</v>
      </c>
      <c r="L9" s="897">
        <v>15000</v>
      </c>
    </row>
    <row r="10" spans="1:15" ht="15" customHeight="1">
      <c r="A10" s="420"/>
      <c r="B10" s="426"/>
      <c r="C10" s="408"/>
      <c r="D10" s="415"/>
      <c r="E10" s="408"/>
      <c r="F10" s="415"/>
      <c r="G10" s="423">
        <f>IF((G8-G9)&lt;0,0,(G8-G9))</f>
        <v>2700000</v>
      </c>
      <c r="H10" s="482"/>
      <c r="I10" s="472"/>
      <c r="K10" s="416" t="s">
        <v>1683</v>
      </c>
      <c r="L10" s="416">
        <v>18000</v>
      </c>
    </row>
    <row r="11" spans="1:15" ht="15" customHeight="1">
      <c r="A11" s="420"/>
      <c r="B11" s="426"/>
      <c r="C11" s="590" t="s">
        <v>514</v>
      </c>
      <c r="D11" s="415"/>
      <c r="E11" s="408" t="s">
        <v>1516</v>
      </c>
      <c r="F11" s="415">
        <f>G10*0.3</f>
        <v>810000</v>
      </c>
      <c r="G11" s="423"/>
      <c r="H11" s="482"/>
      <c r="I11" s="472"/>
      <c r="K11" s="416" t="s">
        <v>1684</v>
      </c>
      <c r="L11" s="966">
        <v>32500</v>
      </c>
    </row>
    <row r="12" spans="1:15" ht="15" customHeight="1">
      <c r="A12" s="420"/>
      <c r="B12" s="426"/>
      <c r="D12" s="415"/>
      <c r="E12" s="434" t="s">
        <v>1094</v>
      </c>
      <c r="F12" s="681">
        <v>275000</v>
      </c>
      <c r="G12" s="592">
        <f>F11+F12</f>
        <v>1085000</v>
      </c>
      <c r="H12" s="482">
        <f>G10-G12</f>
        <v>1615000</v>
      </c>
      <c r="I12" s="472"/>
      <c r="K12" s="970" t="s">
        <v>1711</v>
      </c>
      <c r="L12" s="967">
        <f>L13-(SUM(L6:L11))</f>
        <v>26500</v>
      </c>
      <c r="M12" s="895" t="s">
        <v>1588</v>
      </c>
    </row>
    <row r="13" spans="1:15" ht="15" customHeight="1" thickBot="1">
      <c r="A13" s="420"/>
      <c r="B13" s="421" t="s">
        <v>996</v>
      </c>
      <c r="C13" s="408"/>
      <c r="D13" s="415"/>
      <c r="E13" s="429"/>
      <c r="F13" s="415"/>
      <c r="G13" s="415"/>
      <c r="H13" s="482"/>
      <c r="I13" s="472"/>
      <c r="K13" s="712"/>
      <c r="L13" s="712">
        <f>+N13</f>
        <v>1118000</v>
      </c>
      <c r="M13" s="712"/>
      <c r="N13" s="712">
        <f>+N6</f>
        <v>1118000</v>
      </c>
    </row>
    <row r="14" spans="1:15" ht="15" customHeight="1" thickTop="1">
      <c r="A14" s="420"/>
      <c r="C14" s="893" t="s">
        <v>1597</v>
      </c>
      <c r="D14" s="415"/>
      <c r="E14" s="910" t="s">
        <v>1598</v>
      </c>
      <c r="F14" s="896" t="s">
        <v>1584</v>
      </c>
      <c r="G14" s="701"/>
      <c r="H14" s="482"/>
      <c r="I14" s="472"/>
      <c r="K14" s="748" t="s">
        <v>1264</v>
      </c>
      <c r="L14" s="748"/>
      <c r="M14" s="748"/>
      <c r="N14" s="748"/>
    </row>
    <row r="15" spans="1:15" ht="15" customHeight="1">
      <c r="A15" s="420"/>
      <c r="B15" s="415"/>
      <c r="C15" s="408" t="s">
        <v>1294</v>
      </c>
      <c r="D15" s="415"/>
      <c r="E15" s="973" t="s">
        <v>1723</v>
      </c>
      <c r="F15" s="679" t="s">
        <v>1724</v>
      </c>
      <c r="G15" s="479"/>
      <c r="H15" s="483">
        <f>+L28</f>
        <v>172175</v>
      </c>
      <c r="I15" s="472"/>
      <c r="K15" s="416" t="s">
        <v>1363</v>
      </c>
    </row>
    <row r="16" spans="1:15" ht="15" customHeight="1">
      <c r="A16" s="420"/>
      <c r="B16" s="415"/>
      <c r="C16" s="408"/>
      <c r="D16" s="415"/>
      <c r="E16" s="429"/>
      <c r="F16" s="415"/>
      <c r="G16" s="415"/>
      <c r="H16" s="483"/>
      <c r="I16" s="472"/>
      <c r="K16" s="416" t="s">
        <v>1515</v>
      </c>
      <c r="L16" s="713">
        <v>96000</v>
      </c>
    </row>
    <row r="17" spans="1:15" ht="15" customHeight="1">
      <c r="A17" s="420"/>
      <c r="B17" s="421" t="s">
        <v>997</v>
      </c>
      <c r="C17" s="415"/>
      <c r="D17" s="415"/>
      <c r="E17" s="415"/>
      <c r="F17" s="415"/>
      <c r="G17" s="415"/>
      <c r="H17" s="482"/>
      <c r="I17" s="472"/>
      <c r="K17" s="416" t="s">
        <v>1518</v>
      </c>
      <c r="L17" s="713"/>
    </row>
    <row r="18" spans="1:15" ht="13.5">
      <c r="A18" s="420"/>
      <c r="B18" s="415"/>
      <c r="C18" s="408" t="s">
        <v>498</v>
      </c>
      <c r="E18" s="408"/>
      <c r="F18" s="415"/>
      <c r="G18" s="701"/>
      <c r="H18" s="482"/>
      <c r="I18" s="472"/>
      <c r="K18" s="762" t="s">
        <v>1580</v>
      </c>
      <c r="L18" s="713">
        <v>15000</v>
      </c>
    </row>
    <row r="19" spans="1:15">
      <c r="A19" s="420"/>
      <c r="B19" s="702"/>
      <c r="C19" s="408" t="s">
        <v>77</v>
      </c>
      <c r="D19" s="408"/>
      <c r="E19" s="408"/>
      <c r="F19" s="415"/>
      <c r="G19" s="479"/>
      <c r="H19" s="482">
        <f>G18+G19</f>
        <v>0</v>
      </c>
      <c r="I19" s="472"/>
      <c r="K19" s="416" t="s">
        <v>1266</v>
      </c>
    </row>
    <row r="20" spans="1:15" ht="20.100000000000001" customHeight="1">
      <c r="A20" s="420"/>
      <c r="B20" s="421" t="s">
        <v>998</v>
      </c>
      <c r="C20" s="415"/>
      <c r="D20" s="415"/>
      <c r="E20" s="415"/>
      <c r="F20" s="415"/>
      <c r="G20" s="415"/>
      <c r="H20" s="482"/>
      <c r="I20" s="471"/>
      <c r="K20" s="416" t="s">
        <v>1577</v>
      </c>
      <c r="L20" s="713">
        <v>25000</v>
      </c>
      <c r="M20" s="715" t="s">
        <v>1710</v>
      </c>
    </row>
    <row r="21" spans="1:15" ht="13.5">
      <c r="A21" s="420"/>
      <c r="B21" s="636"/>
      <c r="C21" s="431" t="s">
        <v>1247</v>
      </c>
      <c r="D21" s="431"/>
      <c r="E21" s="431"/>
      <c r="F21" s="415"/>
      <c r="G21" s="411">
        <v>82000</v>
      </c>
      <c r="H21" s="482"/>
      <c r="I21" s="471"/>
      <c r="K21" s="1122" t="s">
        <v>1269</v>
      </c>
      <c r="L21" s="1122"/>
      <c r="M21" s="1122"/>
      <c r="N21" s="1122"/>
    </row>
    <row r="22" spans="1:15" ht="13.5">
      <c r="A22" s="420"/>
      <c r="B22" s="636"/>
      <c r="C22" s="431" t="s">
        <v>1248</v>
      </c>
      <c r="D22" s="431"/>
      <c r="E22" s="422"/>
      <c r="G22" s="411">
        <v>160000</v>
      </c>
      <c r="H22" s="482"/>
      <c r="I22" s="471"/>
      <c r="K22" s="416" t="s">
        <v>1270</v>
      </c>
      <c r="L22" s="416">
        <f>+L12</f>
        <v>26500</v>
      </c>
      <c r="M22" s="895" t="s">
        <v>1582</v>
      </c>
    </row>
    <row r="23" spans="1:15">
      <c r="A23" s="420"/>
      <c r="B23" s="858">
        <v>43176</v>
      </c>
      <c r="C23" s="431" t="s">
        <v>1190</v>
      </c>
      <c r="E23" s="682" t="s">
        <v>1672</v>
      </c>
      <c r="F23" s="653" t="s">
        <v>1717</v>
      </c>
      <c r="G23" s="462">
        <f>ROUND(76000*0.076,0)</f>
        <v>5776</v>
      </c>
      <c r="H23" s="482"/>
      <c r="I23" s="471"/>
      <c r="K23" s="416" t="s">
        <v>1271</v>
      </c>
      <c r="L23" s="416">
        <f>+L11</f>
        <v>32500</v>
      </c>
      <c r="M23" s="895" t="s">
        <v>1582</v>
      </c>
    </row>
    <row r="24" spans="1:15" ht="15" customHeight="1">
      <c r="A24" s="420"/>
      <c r="B24" s="589"/>
      <c r="C24" s="431"/>
      <c r="D24" s="434"/>
      <c r="E24" s="433"/>
      <c r="F24" s="433"/>
      <c r="G24" s="480">
        <f>SUM(G21:G23)</f>
        <v>247776</v>
      </c>
      <c r="H24" s="482"/>
      <c r="I24" s="471"/>
      <c r="K24" s="416" t="s">
        <v>1581</v>
      </c>
      <c r="L24" s="416">
        <f>+N45*-1</f>
        <v>-22825</v>
      </c>
      <c r="M24" s="895" t="s">
        <v>1702</v>
      </c>
    </row>
    <row r="25" spans="1:15" ht="15" customHeight="1">
      <c r="A25" s="420"/>
      <c r="B25" s="589"/>
      <c r="C25" s="415"/>
      <c r="D25" s="415"/>
      <c r="E25" s="415"/>
      <c r="F25" s="415"/>
      <c r="G25" s="437"/>
      <c r="H25" s="482">
        <f>+G24</f>
        <v>247776</v>
      </c>
      <c r="I25" s="472"/>
      <c r="K25" s="416" t="s">
        <v>1699</v>
      </c>
      <c r="L25" s="416">
        <f>+L16</f>
        <v>96000</v>
      </c>
      <c r="M25" s="895" t="s">
        <v>1583</v>
      </c>
    </row>
    <row r="26" spans="1:15" ht="15" customHeight="1">
      <c r="A26" s="420"/>
      <c r="B26" s="589"/>
      <c r="C26" s="415"/>
      <c r="D26" s="415"/>
      <c r="E26" s="415"/>
      <c r="F26" s="415"/>
      <c r="G26" s="437"/>
      <c r="H26" s="482"/>
      <c r="I26" s="472"/>
      <c r="K26" s="416" t="s">
        <v>1700</v>
      </c>
      <c r="L26" s="416">
        <v>15000</v>
      </c>
      <c r="M26" s="895" t="s">
        <v>1583</v>
      </c>
    </row>
    <row r="27" spans="1:15" ht="15" customHeight="1">
      <c r="A27" s="420"/>
      <c r="B27" s="428"/>
      <c r="C27" s="435"/>
      <c r="D27" s="436"/>
      <c r="E27" s="415"/>
      <c r="F27" s="444"/>
      <c r="G27" s="437"/>
      <c r="H27" s="484"/>
      <c r="I27" s="534"/>
      <c r="K27" s="416" t="s">
        <v>1701</v>
      </c>
      <c r="L27" s="416">
        <f>+L20</f>
        <v>25000</v>
      </c>
      <c r="M27" s="895" t="s">
        <v>1583</v>
      </c>
    </row>
    <row r="28" spans="1:15" ht="15" customHeight="1">
      <c r="A28" s="866"/>
      <c r="B28" s="867" t="s">
        <v>501</v>
      </c>
      <c r="C28" s="415"/>
      <c r="D28" s="415"/>
      <c r="E28" s="428"/>
      <c r="F28" s="428"/>
      <c r="G28" s="424"/>
      <c r="H28" s="485">
        <f>SUM(H5:H25)</f>
        <v>2034951</v>
      </c>
      <c r="I28" s="472"/>
      <c r="K28" s="967" t="s">
        <v>1585</v>
      </c>
      <c r="L28" s="967">
        <f>SUM(L22:L27)</f>
        <v>172175</v>
      </c>
      <c r="M28" s="895" t="s">
        <v>1588</v>
      </c>
    </row>
    <row r="29" spans="1:15" ht="15" customHeight="1">
      <c r="A29" s="420" t="s">
        <v>1275</v>
      </c>
      <c r="B29" s="865" t="s">
        <v>999</v>
      </c>
      <c r="C29" s="415"/>
      <c r="D29" s="415"/>
      <c r="E29" s="415"/>
      <c r="F29" s="415"/>
      <c r="G29" s="415"/>
      <c r="H29" s="482"/>
      <c r="I29" s="471"/>
      <c r="K29" s="1123" t="s">
        <v>1279</v>
      </c>
      <c r="L29" s="1123"/>
      <c r="M29" s="1123"/>
      <c r="N29" s="1123"/>
    </row>
    <row r="30" spans="1:15" ht="15" customHeight="1">
      <c r="A30" s="420"/>
      <c r="B30" s="860"/>
      <c r="C30" s="435" t="s">
        <v>1513</v>
      </c>
      <c r="D30" s="415"/>
      <c r="E30" s="415"/>
      <c r="F30" s="415"/>
      <c r="G30" s="423"/>
      <c r="H30" s="482"/>
      <c r="I30" s="471"/>
      <c r="K30" s="719" t="s">
        <v>1280</v>
      </c>
      <c r="M30" s="719" t="s">
        <v>1282</v>
      </c>
    </row>
    <row r="31" spans="1:15" ht="15" customHeight="1">
      <c r="A31" s="420"/>
      <c r="B31" s="858">
        <f>+B23</f>
        <v>43176</v>
      </c>
      <c r="C31" s="431" t="s">
        <v>1190</v>
      </c>
      <c r="D31" s="415"/>
      <c r="E31" s="682" t="str">
        <f>+E23</f>
        <v>76000* .0760</v>
      </c>
      <c r="F31" s="411">
        <f>+G23</f>
        <v>5776</v>
      </c>
      <c r="G31" s="423"/>
      <c r="H31" s="482"/>
      <c r="I31" s="471"/>
      <c r="K31" s="416" t="s">
        <v>1685</v>
      </c>
      <c r="L31" s="416">
        <v>29000000</v>
      </c>
      <c r="M31" s="416" t="s">
        <v>1686</v>
      </c>
      <c r="N31" s="416">
        <v>208000</v>
      </c>
    </row>
    <row r="32" spans="1:15" ht="12.75" customHeight="1">
      <c r="A32" s="420"/>
      <c r="B32" s="860"/>
      <c r="C32" s="431" t="s">
        <v>509</v>
      </c>
      <c r="D32" s="415"/>
      <c r="E32" s="415"/>
      <c r="F32" s="411">
        <v>85000</v>
      </c>
      <c r="G32" s="423"/>
      <c r="H32" s="482"/>
      <c r="I32" s="471"/>
      <c r="M32" s="416" t="s">
        <v>1687</v>
      </c>
      <c r="N32" s="416">
        <v>7600000</v>
      </c>
      <c r="O32" s="893"/>
    </row>
    <row r="33" spans="1:15" ht="15" customHeight="1">
      <c r="A33" s="420"/>
      <c r="G33" s="423"/>
      <c r="H33" s="482"/>
      <c r="I33" s="471"/>
      <c r="M33" s="416" t="s">
        <v>1688</v>
      </c>
      <c r="N33" s="958">
        <f>(140000+12500)+41000</f>
        <v>193500</v>
      </c>
    </row>
    <row r="34" spans="1:15" ht="15" customHeight="1">
      <c r="A34" s="420"/>
      <c r="B34" s="860"/>
      <c r="C34" s="431"/>
      <c r="D34" s="415"/>
      <c r="E34" s="415"/>
      <c r="F34" s="448">
        <f>SUM(F31:F32)</f>
        <v>90776</v>
      </c>
      <c r="G34" s="415">
        <f>IF(F34&gt;150000,150000,F34)</f>
        <v>90776</v>
      </c>
      <c r="H34" s="482"/>
      <c r="I34" s="471"/>
      <c r="M34" s="416" t="s">
        <v>1689</v>
      </c>
      <c r="N34" s="958">
        <f>+L11*-1</f>
        <v>-32500</v>
      </c>
      <c r="O34" s="961">
        <f>N33+N34</f>
        <v>161000</v>
      </c>
    </row>
    <row r="35" spans="1:15" ht="15" customHeight="1">
      <c r="A35" s="420"/>
      <c r="B35" s="861">
        <v>70000</v>
      </c>
      <c r="C35" s="862" t="s">
        <v>1673</v>
      </c>
      <c r="D35" s="415"/>
      <c r="E35" s="415"/>
      <c r="G35" s="462">
        <f>150000-G34</f>
        <v>59224</v>
      </c>
      <c r="H35" s="482"/>
      <c r="I35" s="471"/>
      <c r="M35" s="416" t="s">
        <v>1690</v>
      </c>
      <c r="N35" s="416">
        <v>22519000</v>
      </c>
    </row>
    <row r="36" spans="1:15" ht="15" customHeight="1">
      <c r="A36" s="420"/>
      <c r="B36" s="860"/>
      <c r="C36" s="449" t="s">
        <v>1249</v>
      </c>
      <c r="D36" s="415"/>
      <c r="E36" s="415"/>
      <c r="F36" s="415"/>
      <c r="G36" s="462">
        <v>50000</v>
      </c>
      <c r="H36" s="482"/>
      <c r="I36" s="471"/>
      <c r="M36" s="416" t="s">
        <v>1691</v>
      </c>
      <c r="N36" s="416">
        <v>832000</v>
      </c>
    </row>
    <row r="37" spans="1:15" ht="15" customHeight="1">
      <c r="A37" s="420"/>
      <c r="B37" s="415"/>
      <c r="C37" s="449" t="s">
        <v>979</v>
      </c>
      <c r="D37" s="415"/>
      <c r="E37" s="428"/>
      <c r="F37" s="428"/>
      <c r="G37" s="447">
        <f>IF(G21&gt;10000, 10000, G21)</f>
        <v>10000</v>
      </c>
      <c r="H37" s="482"/>
      <c r="I37" s="471"/>
      <c r="K37" s="897"/>
      <c r="M37" s="416" t="s">
        <v>1692</v>
      </c>
      <c r="N37" s="416">
        <v>190000</v>
      </c>
    </row>
    <row r="38" spans="1:15">
      <c r="A38" s="420"/>
      <c r="B38" s="415"/>
      <c r="C38" s="543" t="s">
        <v>853</v>
      </c>
      <c r="D38" s="415"/>
      <c r="E38" s="428"/>
      <c r="F38" s="428"/>
      <c r="G38" s="462"/>
      <c r="H38" s="482">
        <f>SUM(G34:G38)</f>
        <v>210000</v>
      </c>
      <c r="I38" s="472"/>
    </row>
    <row r="39" spans="1:15" ht="15.75" customHeight="1" thickBot="1">
      <c r="A39" s="420"/>
      <c r="B39" s="451" t="s">
        <v>777</v>
      </c>
      <c r="C39" s="415"/>
      <c r="D39" s="415"/>
      <c r="E39" s="452">
        <f>IF((H28-H38)&lt;0,0,(H28-H38))</f>
        <v>1824951</v>
      </c>
      <c r="F39" s="453" t="s">
        <v>779</v>
      </c>
      <c r="G39" s="440"/>
      <c r="H39" s="486">
        <f>ROUND((E39/10),0)*10</f>
        <v>1824950</v>
      </c>
      <c r="I39" s="475"/>
      <c r="M39" s="960" t="s">
        <v>1693</v>
      </c>
      <c r="N39" s="962">
        <v>-2510000</v>
      </c>
    </row>
    <row r="40" spans="1:15" ht="15" customHeight="1" thickTop="1" thickBot="1">
      <c r="A40" s="420"/>
      <c r="B40" s="450" t="s">
        <v>778</v>
      </c>
      <c r="C40" s="415"/>
      <c r="D40" s="415"/>
      <c r="E40" s="444" t="s">
        <v>521</v>
      </c>
      <c r="F40" s="454" t="s">
        <v>522</v>
      </c>
      <c r="G40" s="444" t="s">
        <v>524</v>
      </c>
      <c r="H40" s="487"/>
      <c r="I40" s="471"/>
      <c r="K40" s="712"/>
      <c r="L40" s="712">
        <f>SUM(L31:L39)</f>
        <v>29000000</v>
      </c>
      <c r="M40" s="712"/>
      <c r="N40" s="712">
        <f>SUM(N31:N39)</f>
        <v>29000000</v>
      </c>
    </row>
    <row r="41" spans="1:15" ht="15" customHeight="1" thickTop="1">
      <c r="A41" s="420"/>
      <c r="B41" s="883">
        <v>23429</v>
      </c>
      <c r="C41" s="467">
        <f>IF(B41&lt;21277,"Sr Citizen",0)</f>
        <v>0</v>
      </c>
      <c r="D41" s="653" t="s">
        <v>1562</v>
      </c>
      <c r="E41" s="455">
        <f>H39</f>
        <v>1824950</v>
      </c>
      <c r="F41" s="456"/>
      <c r="G41" s="415">
        <f>IF(+C41="Sr Citizen",ROUND(IF(E41&gt;1000000,(((E41-1000000)*0.3)+110000),IF(E41&gt;500000,(((E41-500000)*0.2)+10000),IF(E41&gt;300000,((E41-300000)*0.05),0))),0),ROUND(IF(E41&gt;1000000,(((E41-1000000)*0.3)+112500),IF(E41&gt;500000,(((E41-500000)*0.2)+12500),IF(E41&gt;250000,((E41-250000)*0.05),0))),0))-1</f>
        <v>359984</v>
      </c>
      <c r="H41" s="487"/>
      <c r="I41" s="471"/>
      <c r="K41" s="1120" t="s">
        <v>1278</v>
      </c>
      <c r="L41" s="1120"/>
      <c r="M41" s="1120"/>
      <c r="N41" s="1120"/>
    </row>
    <row r="42" spans="1:15" ht="15" customHeight="1">
      <c r="A42" s="420"/>
      <c r="C42" s="524"/>
      <c r="D42" s="653" t="s">
        <v>1563</v>
      </c>
      <c r="E42" s="428"/>
      <c r="F42" s="415"/>
      <c r="G42" s="527"/>
      <c r="H42" s="489">
        <f>+G41+G42</f>
        <v>359984</v>
      </c>
      <c r="I42" s="472"/>
      <c r="K42" s="36" t="s">
        <v>1668</v>
      </c>
      <c r="L42" s="36">
        <v>41000</v>
      </c>
      <c r="M42" s="721" t="s">
        <v>1595</v>
      </c>
      <c r="N42" s="36">
        <f>41000*0.4/2</f>
        <v>8200</v>
      </c>
    </row>
    <row r="43" spans="1:15" ht="15" customHeight="1">
      <c r="A43" s="420"/>
      <c r="B43" s="601" t="s">
        <v>1564</v>
      </c>
      <c r="C43" s="524"/>
      <c r="D43" s="456"/>
      <c r="E43" s="428"/>
      <c r="F43" s="678"/>
      <c r="G43" s="526"/>
      <c r="H43" s="696">
        <f>IF(H39&gt;10000000,H42*15%,IF(H39&gt;5000000,H42*10%,0))</f>
        <v>0</v>
      </c>
      <c r="I43" s="473"/>
      <c r="K43" s="36" t="s">
        <v>1669</v>
      </c>
      <c r="L43" s="36">
        <v>140000</v>
      </c>
      <c r="M43" s="721">
        <v>0.1</v>
      </c>
      <c r="N43" s="36">
        <f>L43*M43</f>
        <v>14000</v>
      </c>
    </row>
    <row r="44" spans="1:15" ht="15" customHeight="1">
      <c r="A44" s="420"/>
      <c r="C44" s="524"/>
      <c r="D44" s="456"/>
      <c r="E44" s="428"/>
      <c r="F44" s="415"/>
      <c r="G44" s="526"/>
      <c r="H44" s="489">
        <f>H42+H43</f>
        <v>359984</v>
      </c>
      <c r="I44" s="472"/>
      <c r="K44" s="36" t="s">
        <v>1670</v>
      </c>
      <c r="L44" s="36">
        <v>12500</v>
      </c>
      <c r="M44" s="721" t="s">
        <v>1274</v>
      </c>
      <c r="N44" s="36">
        <f>L44*0.1/2</f>
        <v>625</v>
      </c>
    </row>
    <row r="45" spans="1:15" ht="15" customHeight="1" thickBot="1">
      <c r="A45" s="420"/>
      <c r="B45" s="408" t="s">
        <v>1707</v>
      </c>
      <c r="C45" s="415"/>
      <c r="D45" s="456"/>
      <c r="E45" s="428"/>
      <c r="F45" s="415"/>
      <c r="G45" s="428"/>
      <c r="H45" s="696">
        <f>ROUND((H44)*0.04,0)</f>
        <v>14399</v>
      </c>
      <c r="I45" s="473"/>
      <c r="K45" s="36"/>
      <c r="L45" s="36"/>
      <c r="M45" s="36"/>
      <c r="N45" s="720">
        <f>SUM(N42:N44)</f>
        <v>22825</v>
      </c>
    </row>
    <row r="46" spans="1:15" ht="15" customHeight="1" thickTop="1">
      <c r="A46" s="420"/>
      <c r="B46" s="450" t="s">
        <v>565</v>
      </c>
      <c r="C46" s="415"/>
      <c r="D46" s="456"/>
      <c r="E46" s="458"/>
      <c r="F46" s="415"/>
      <c r="G46" s="428"/>
      <c r="H46" s="488">
        <f>SUM(H44:H45)</f>
        <v>374383</v>
      </c>
      <c r="I46" s="472"/>
    </row>
    <row r="47" spans="1:15" ht="15" customHeight="1">
      <c r="A47" s="420"/>
      <c r="B47" s="408" t="s">
        <v>1708</v>
      </c>
      <c r="C47" s="415"/>
      <c r="D47" s="456"/>
      <c r="E47" s="458"/>
      <c r="F47" s="415"/>
      <c r="G47" s="428"/>
      <c r="H47" s="696"/>
      <c r="I47" s="473"/>
      <c r="K47" s="682" t="s">
        <v>1368</v>
      </c>
      <c r="L47" s="749"/>
      <c r="M47" s="682" t="s">
        <v>1369</v>
      </c>
      <c r="N47" s="749"/>
    </row>
    <row r="48" spans="1:15" ht="15" customHeight="1">
      <c r="A48" s="420"/>
      <c r="B48" s="450"/>
      <c r="C48" s="415"/>
      <c r="D48" s="456"/>
      <c r="E48" s="458"/>
      <c r="F48" s="415"/>
      <c r="G48" s="428"/>
      <c r="H48" s="488">
        <f>H46+H47</f>
        <v>374383</v>
      </c>
      <c r="I48" s="472"/>
      <c r="K48" s="416" t="s">
        <v>1596</v>
      </c>
      <c r="M48" s="416" t="s">
        <v>1370</v>
      </c>
    </row>
    <row r="49" spans="1:14" ht="15" customHeight="1">
      <c r="A49" s="420"/>
      <c r="B49" s="421" t="s">
        <v>571</v>
      </c>
      <c r="C49" s="428"/>
      <c r="D49" s="428"/>
      <c r="E49" s="428"/>
      <c r="F49" s="428"/>
      <c r="G49" s="428"/>
      <c r="H49" s="490"/>
      <c r="I49" s="471"/>
      <c r="K49" s="416" t="s">
        <v>1694</v>
      </c>
      <c r="M49" s="416" t="s">
        <v>1695</v>
      </c>
    </row>
    <row r="50" spans="1:14" ht="15" customHeight="1">
      <c r="A50" s="420"/>
      <c r="B50" s="667"/>
      <c r="C50" s="1115" t="s">
        <v>993</v>
      </c>
      <c r="D50" s="1115"/>
      <c r="E50" s="705">
        <v>43359</v>
      </c>
      <c r="F50" s="698"/>
      <c r="G50" s="447">
        <v>25000</v>
      </c>
      <c r="H50" s="482"/>
      <c r="I50" s="472"/>
      <c r="M50" s="416" t="s">
        <v>1696</v>
      </c>
    </row>
    <row r="51" spans="1:14" ht="15" customHeight="1">
      <c r="A51" s="420"/>
      <c r="B51" s="588"/>
      <c r="C51" s="1115" t="s">
        <v>1251</v>
      </c>
      <c r="D51" s="1115"/>
      <c r="E51" s="898">
        <v>0.1</v>
      </c>
      <c r="F51" s="698"/>
      <c r="G51" s="410">
        <v>270000</v>
      </c>
      <c r="H51" s="482"/>
      <c r="I51" s="472"/>
      <c r="N51" s="964" t="s">
        <v>1697</v>
      </c>
    </row>
    <row r="52" spans="1:14" ht="15" customHeight="1">
      <c r="A52" s="420"/>
      <c r="B52" s="588"/>
      <c r="C52" s="1115" t="s">
        <v>1192</v>
      </c>
      <c r="D52" s="1115"/>
      <c r="E52" s="705">
        <v>43646</v>
      </c>
      <c r="F52" s="698"/>
      <c r="G52" s="410">
        <v>80000</v>
      </c>
      <c r="H52" s="482"/>
      <c r="I52" s="472"/>
      <c r="K52" s="963" t="s">
        <v>1594</v>
      </c>
      <c r="L52" s="906">
        <v>8600000</v>
      </c>
      <c r="N52" s="965">
        <v>43708</v>
      </c>
    </row>
    <row r="53" spans="1:14" ht="12.75" customHeight="1" thickBot="1">
      <c r="A53" s="414"/>
      <c r="B53" s="477"/>
      <c r="C53" s="1117"/>
      <c r="D53" s="1117"/>
      <c r="E53" s="709"/>
      <c r="F53" s="699"/>
      <c r="G53" s="481"/>
      <c r="H53" s="493">
        <f>SUM(G50:G53)</f>
        <v>375000</v>
      </c>
      <c r="I53" s="478"/>
      <c r="K53" s="963" t="s">
        <v>1599</v>
      </c>
      <c r="L53" s="863">
        <v>43454</v>
      </c>
      <c r="M53" s="416">
        <v>270000</v>
      </c>
    </row>
    <row r="54" spans="1:14" ht="18" customHeight="1" thickBot="1">
      <c r="A54" s="494"/>
      <c r="B54" s="710" t="str">
        <f>IF(H54=0,"TAX  PAYABLE / REFUND ",IF(H54&lt;0,"REFUND","TAX  PAYABLE"))</f>
        <v>REFUND</v>
      </c>
      <c r="C54" s="706"/>
      <c r="D54" s="747">
        <v>43665</v>
      </c>
      <c r="E54" s="707"/>
      <c r="F54" s="708" t="s">
        <v>776</v>
      </c>
      <c r="G54" s="497"/>
      <c r="H54" s="499">
        <f>(H48-H53)-3</f>
        <v>-620</v>
      </c>
      <c r="I54" s="500"/>
      <c r="K54" s="963" t="s">
        <v>1599</v>
      </c>
      <c r="L54" s="863">
        <v>43693</v>
      </c>
      <c r="M54" s="416">
        <v>25000</v>
      </c>
    </row>
    <row r="55" spans="1:14" ht="14.25" customHeight="1">
      <c r="A55" s="808"/>
      <c r="B55" s="899"/>
      <c r="C55" s="809"/>
      <c r="D55" s="752"/>
      <c r="E55" s="428"/>
      <c r="G55" s="894" t="s">
        <v>1578</v>
      </c>
      <c r="H55" s="893" t="s">
        <v>1579</v>
      </c>
      <c r="I55" s="810"/>
      <c r="K55" s="963" t="s">
        <v>1600</v>
      </c>
      <c r="L55" s="863">
        <v>43575</v>
      </c>
      <c r="M55" s="681">
        <v>90000</v>
      </c>
    </row>
    <row r="56" spans="1:14">
      <c r="A56" s="1119">
        <f ca="1">TODAY()-1</f>
        <v>44230</v>
      </c>
      <c r="B56" s="1119"/>
      <c r="E56" s="554"/>
      <c r="F56" s="554"/>
      <c r="G56" s="554"/>
      <c r="H56" s="864" t="s">
        <v>1676</v>
      </c>
      <c r="J56" s="554"/>
      <c r="K56" s="963"/>
      <c r="L56" s="749">
        <v>0.06</v>
      </c>
      <c r="M56" s="848">
        <f>M53+M55+M54</f>
        <v>385000</v>
      </c>
      <c r="N56" s="416">
        <f>M56*L56</f>
        <v>23100</v>
      </c>
    </row>
    <row r="57" spans="1:14" ht="13.5">
      <c r="A57" s="567"/>
      <c r="C57" s="717"/>
      <c r="F57" s="416" t="s">
        <v>1675</v>
      </c>
      <c r="H57" s="554">
        <v>90000</v>
      </c>
      <c r="I57" s="569"/>
      <c r="J57" s="554"/>
      <c r="K57" s="963" t="s">
        <v>1698</v>
      </c>
      <c r="L57" s="749">
        <v>0.08</v>
      </c>
      <c r="M57" s="907">
        <f>L52-M53-M55-M54</f>
        <v>8215000</v>
      </c>
      <c r="N57" s="416">
        <f>M57*L57</f>
        <v>657200</v>
      </c>
    </row>
    <row r="58" spans="1:14" ht="13.5" thickBot="1">
      <c r="A58" s="567"/>
      <c r="C58" s="554"/>
      <c r="F58" s="416" t="s">
        <v>1674</v>
      </c>
      <c r="H58" s="554">
        <v>720</v>
      </c>
      <c r="I58" s="569"/>
      <c r="J58" s="554"/>
      <c r="M58" s="908">
        <f>SUM(M56:M57)</f>
        <v>8600000</v>
      </c>
      <c r="N58" s="909">
        <f>SUM(N56:N57)</f>
        <v>680300</v>
      </c>
    </row>
    <row r="59" spans="1:14" ht="13.5" thickTop="1"/>
    <row r="61" spans="1:14" s="975" customFormat="1">
      <c r="A61" s="974"/>
      <c r="B61" s="1047" t="s">
        <v>1718</v>
      </c>
      <c r="C61" s="1047"/>
      <c r="D61" s="1047"/>
      <c r="I61" s="976"/>
    </row>
    <row r="62" spans="1:14">
      <c r="B62" s="416" t="s">
        <v>1720</v>
      </c>
    </row>
    <row r="63" spans="1:14" s="978" customFormat="1">
      <c r="A63" s="977"/>
      <c r="B63" s="713" t="s">
        <v>1725</v>
      </c>
      <c r="C63" s="713"/>
      <c r="D63" s="713"/>
      <c r="I63" s="979"/>
    </row>
    <row r="64" spans="1:14" s="713" customFormat="1">
      <c r="A64" s="980"/>
      <c r="B64" s="847" t="s">
        <v>1719</v>
      </c>
      <c r="C64" s="847"/>
      <c r="D64" s="847"/>
      <c r="I64" s="981"/>
    </row>
    <row r="65" spans="2:2">
      <c r="B65" s="416" t="s">
        <v>1727</v>
      </c>
    </row>
  </sheetData>
  <mergeCells count="14">
    <mergeCell ref="A56:B56"/>
    <mergeCell ref="K41:N41"/>
    <mergeCell ref="K1:N1"/>
    <mergeCell ref="K21:N21"/>
    <mergeCell ref="K29:N29"/>
    <mergeCell ref="C53:D53"/>
    <mergeCell ref="C50:D50"/>
    <mergeCell ref="C51:D51"/>
    <mergeCell ref="C52:D52"/>
    <mergeCell ref="A1:C1"/>
    <mergeCell ref="A2:C2"/>
    <mergeCell ref="D1:I1"/>
    <mergeCell ref="D2:I2"/>
    <mergeCell ref="B6:E6"/>
  </mergeCells>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99" right="0.196850393700787" top="0.196850393700787" bottom="0.196850393700787" header="0" footer="0"/>
  <pageSetup paperSize="9" scale="95" orientation="portrait" r:id="rId1"/>
  <headerFooter alignWithMargins="0"/>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93"/>
  <sheetViews>
    <sheetView showZeros="0" zoomScale="130" zoomScaleNormal="130" workbookViewId="0">
      <selection activeCell="G4" sqref="G4"/>
    </sheetView>
  </sheetViews>
  <sheetFormatPr defaultColWidth="9.140625" defaultRowHeight="12.75"/>
  <cols>
    <col min="1" max="1" width="1.7109375" style="460" customWidth="1"/>
    <col min="2" max="2" width="8.140625" style="416" customWidth="1"/>
    <col min="3" max="3" width="12.140625" style="416" customWidth="1"/>
    <col min="4" max="4" width="15.28515625" style="416" customWidth="1"/>
    <col min="5" max="5" width="15.85546875" style="416" customWidth="1"/>
    <col min="6" max="6" width="14.5703125" style="416" customWidth="1"/>
    <col min="7" max="7" width="11.42578125" style="416" customWidth="1"/>
    <col min="8" max="8" width="10.42578125" style="416" customWidth="1"/>
    <col min="9" max="9" width="1.85546875" style="476" customWidth="1"/>
    <col min="10" max="10" width="1.42578125" style="416" customWidth="1"/>
    <col min="11" max="11" width="14.5703125" style="416" customWidth="1"/>
    <col min="12" max="12" width="10.85546875" style="416" customWidth="1"/>
    <col min="13" max="13" width="7.42578125" style="416" customWidth="1"/>
    <col min="14" max="14" width="9.7109375" style="416" customWidth="1"/>
    <col min="15" max="15" width="8.7109375" style="416" customWidth="1"/>
    <col min="16" max="16384" width="9.140625" style="416"/>
  </cols>
  <sheetData>
    <row r="1" spans="1:12" s="413" customFormat="1" ht="18.75" customHeight="1">
      <c r="A1" s="1124" t="s">
        <v>1789</v>
      </c>
      <c r="B1" s="1125"/>
      <c r="C1" s="1126"/>
      <c r="D1" s="1130" t="s">
        <v>1781</v>
      </c>
      <c r="E1" s="1131"/>
      <c r="F1" s="1131"/>
      <c r="G1" s="1131"/>
      <c r="H1" s="1131"/>
      <c r="I1" s="1132"/>
    </row>
    <row r="2" spans="1:12" ht="18" customHeight="1" thickBot="1">
      <c r="A2" s="1127" t="s">
        <v>1786</v>
      </c>
      <c r="B2" s="1128"/>
      <c r="C2" s="1129"/>
      <c r="D2" s="1111" t="s">
        <v>562</v>
      </c>
      <c r="E2" s="1112"/>
      <c r="F2" s="1112"/>
      <c r="G2" s="1112"/>
      <c r="H2" s="1112"/>
      <c r="I2" s="1113"/>
      <c r="K2" s="956"/>
      <c r="L2" s="413"/>
    </row>
    <row r="3" spans="1:12" ht="16.5" customHeight="1">
      <c r="A3" s="417"/>
      <c r="B3" s="418" t="s">
        <v>994</v>
      </c>
      <c r="C3" s="419"/>
      <c r="D3" s="419"/>
      <c r="E3" s="419"/>
      <c r="F3" s="419"/>
      <c r="G3" s="419"/>
      <c r="H3" s="501" t="s">
        <v>1013</v>
      </c>
      <c r="I3" s="470"/>
      <c r="K3" s="956"/>
      <c r="L3" s="413"/>
    </row>
    <row r="4" spans="1:12" ht="15" customHeight="1">
      <c r="A4" s="420"/>
      <c r="B4" s="421"/>
      <c r="C4" s="422" t="s">
        <v>567</v>
      </c>
      <c r="D4" s="422"/>
      <c r="E4" s="431"/>
      <c r="F4" s="423"/>
      <c r="G4" s="411"/>
      <c r="H4" s="482"/>
      <c r="I4" s="471"/>
      <c r="K4" s="956"/>
      <c r="L4" s="413"/>
    </row>
    <row r="5" spans="1:12" ht="15" customHeight="1">
      <c r="A5" s="420"/>
      <c r="B5" s="415"/>
      <c r="C5" s="408" t="s">
        <v>848</v>
      </c>
      <c r="D5" s="415"/>
      <c r="E5" s="415"/>
      <c r="F5" s="415"/>
      <c r="G5" s="523"/>
      <c r="H5" s="482">
        <f>SUM(G4:G5)</f>
        <v>0</v>
      </c>
      <c r="I5" s="472"/>
      <c r="K5" s="713"/>
    </row>
    <row r="6" spans="1:12" ht="15" customHeight="1">
      <c r="A6" s="420"/>
      <c r="B6" s="426" t="s">
        <v>995</v>
      </c>
      <c r="C6" s="415"/>
      <c r="D6" s="415"/>
      <c r="E6" s="525" t="s">
        <v>1014</v>
      </c>
      <c r="F6" s="423"/>
      <c r="G6" s="415"/>
      <c r="H6" s="482"/>
      <c r="I6" s="472"/>
      <c r="K6" s="713"/>
    </row>
    <row r="7" spans="1:12" ht="15" customHeight="1">
      <c r="A7" s="420"/>
      <c r="B7" s="426"/>
      <c r="C7" s="583" t="s">
        <v>1164</v>
      </c>
      <c r="D7" s="422"/>
      <c r="E7" s="1091" t="s">
        <v>1813</v>
      </c>
      <c r="F7" s="1091" t="s">
        <v>1814</v>
      </c>
      <c r="G7" s="411">
        <v>900000</v>
      </c>
      <c r="H7" s="482"/>
      <c r="I7" s="472"/>
      <c r="K7" s="713"/>
    </row>
    <row r="8" spans="1:12" ht="15" customHeight="1">
      <c r="A8" s="420"/>
      <c r="B8" s="426"/>
      <c r="C8" s="408" t="s">
        <v>769</v>
      </c>
      <c r="D8" s="415"/>
      <c r="E8" s="408"/>
      <c r="F8" s="703"/>
      <c r="G8" s="479">
        <v>20000</v>
      </c>
      <c r="H8" s="482"/>
      <c r="I8" s="472"/>
      <c r="K8" s="713"/>
    </row>
    <row r="9" spans="1:12" ht="15" customHeight="1">
      <c r="A9" s="420"/>
      <c r="B9" s="426"/>
      <c r="C9" s="408"/>
      <c r="D9" s="415"/>
      <c r="E9" s="408"/>
      <c r="F9" s="415"/>
      <c r="G9" s="423">
        <f>IF((G7-G8)&lt;0,0,(G7-G8))</f>
        <v>880000</v>
      </c>
      <c r="H9" s="482"/>
      <c r="I9" s="472"/>
      <c r="K9" s="713"/>
    </row>
    <row r="10" spans="1:12" ht="15" customHeight="1">
      <c r="A10" s="420"/>
      <c r="B10" s="426"/>
      <c r="C10" s="590" t="s">
        <v>514</v>
      </c>
      <c r="D10" s="415"/>
      <c r="E10" s="408" t="s">
        <v>1516</v>
      </c>
      <c r="F10" s="415">
        <f>G9*0.3</f>
        <v>264000</v>
      </c>
      <c r="G10" s="423"/>
      <c r="H10" s="482"/>
      <c r="I10" s="472"/>
      <c r="K10" s="713"/>
    </row>
    <row r="11" spans="1:12" ht="15" customHeight="1">
      <c r="A11" s="420"/>
      <c r="B11" s="426"/>
      <c r="D11" s="415"/>
      <c r="E11" s="879" t="s">
        <v>1558</v>
      </c>
      <c r="F11" s="681">
        <v>1000000</v>
      </c>
      <c r="G11" s="592">
        <f>F10+F11</f>
        <v>1264000</v>
      </c>
      <c r="H11" s="482"/>
      <c r="I11" s="472"/>
      <c r="K11" s="713"/>
    </row>
    <row r="12" spans="1:12" ht="15" customHeight="1">
      <c r="A12" s="420"/>
      <c r="B12" s="426"/>
      <c r="D12" s="415"/>
      <c r="E12" s="879"/>
      <c r="F12" s="415"/>
      <c r="G12" s="875">
        <f>G9-G11</f>
        <v>-384000</v>
      </c>
      <c r="H12" s="482"/>
      <c r="I12" s="472"/>
      <c r="K12" s="713"/>
    </row>
    <row r="13" spans="1:12" ht="15" customHeight="1">
      <c r="A13" s="420"/>
      <c r="B13" s="426"/>
      <c r="C13" s="762"/>
      <c r="D13" s="1089"/>
      <c r="E13" s="1086"/>
      <c r="F13" s="1088" t="s">
        <v>1810</v>
      </c>
      <c r="G13" s="1087">
        <v>184000</v>
      </c>
      <c r="H13" s="482">
        <f>G12+G13</f>
        <v>-200000</v>
      </c>
      <c r="I13" s="472"/>
      <c r="K13" s="713"/>
      <c r="L13" s="416" t="s">
        <v>1732</v>
      </c>
    </row>
    <row r="14" spans="1:12" ht="15" customHeight="1">
      <c r="A14" s="420"/>
      <c r="B14" s="421" t="s">
        <v>996</v>
      </c>
      <c r="C14" s="408"/>
      <c r="D14" s="415"/>
      <c r="E14" s="429"/>
      <c r="F14" s="415"/>
      <c r="G14" s="415"/>
      <c r="H14" s="482"/>
      <c r="I14" s="472"/>
    </row>
    <row r="15" spans="1:12" ht="15" customHeight="1">
      <c r="A15" s="420"/>
      <c r="B15" s="1090" t="s">
        <v>1811</v>
      </c>
      <c r="C15" s="893" t="s">
        <v>1812</v>
      </c>
      <c r="D15" s="415"/>
      <c r="E15" s="939" t="s">
        <v>1642</v>
      </c>
      <c r="F15" s="1092" t="s">
        <v>1815</v>
      </c>
      <c r="G15" s="415"/>
      <c r="H15" s="482"/>
      <c r="I15" s="472"/>
    </row>
    <row r="16" spans="1:12" ht="15" customHeight="1">
      <c r="A16" s="420"/>
      <c r="B16" s="415"/>
      <c r="C16" s="408" t="s">
        <v>1434</v>
      </c>
      <c r="D16" s="415"/>
      <c r="E16" s="700"/>
      <c r="F16" s="455">
        <f>+'ITR3-19+'!C37</f>
        <v>10589800</v>
      </c>
      <c r="G16" s="415"/>
      <c r="H16" s="482"/>
      <c r="I16" s="472"/>
    </row>
    <row r="17" spans="1:15" ht="15" customHeight="1">
      <c r="A17" s="420"/>
      <c r="B17" s="415"/>
      <c r="C17" s="697" t="s">
        <v>1431</v>
      </c>
      <c r="D17" s="415"/>
      <c r="E17" s="700"/>
      <c r="F17" s="415">
        <f>+'ITR3-19+'!C57</f>
        <v>329000</v>
      </c>
      <c r="G17" s="415"/>
      <c r="H17" s="482"/>
      <c r="I17" s="472"/>
    </row>
    <row r="18" spans="1:15" ht="15" customHeight="1">
      <c r="A18" s="420"/>
      <c r="B18" s="415"/>
      <c r="C18" s="1079" t="s">
        <v>1432</v>
      </c>
      <c r="D18" s="415"/>
      <c r="E18" s="700"/>
      <c r="F18" s="875">
        <f>+'ITR3-19+'!C58</f>
        <v>-40000</v>
      </c>
      <c r="G18" s="415"/>
      <c r="H18" s="482"/>
      <c r="I18" s="472"/>
      <c r="O18" s="682"/>
    </row>
    <row r="19" spans="1:15" ht="15" customHeight="1">
      <c r="A19" s="420"/>
      <c r="B19" s="415"/>
      <c r="C19" s="697" t="s">
        <v>1807</v>
      </c>
      <c r="D19" s="415"/>
      <c r="E19" s="700"/>
      <c r="F19" s="415">
        <f>+'ITR3-19+'!C35</f>
        <v>520000</v>
      </c>
      <c r="G19" s="415"/>
      <c r="H19" s="482"/>
      <c r="I19" s="472"/>
      <c r="O19" s="682"/>
    </row>
    <row r="20" spans="1:15" ht="15" customHeight="1">
      <c r="A20" s="420"/>
      <c r="B20" s="408"/>
      <c r="C20" s="1079" t="s">
        <v>1808</v>
      </c>
      <c r="D20" s="408"/>
      <c r="F20" s="1078">
        <f>(+'ITR3-19+'!F88)*-1</f>
        <v>-1223850</v>
      </c>
      <c r="G20" s="840">
        <f>SUM(F16:F20)</f>
        <v>10174950</v>
      </c>
      <c r="H20" s="483">
        <f>+G20</f>
        <v>10174950</v>
      </c>
      <c r="I20" s="472"/>
      <c r="O20" s="682"/>
    </row>
    <row r="21" spans="1:15" ht="15" customHeight="1">
      <c r="A21" s="420"/>
      <c r="B21" s="421" t="s">
        <v>997</v>
      </c>
      <c r="C21" s="415"/>
      <c r="D21" s="415"/>
      <c r="E21" s="415"/>
      <c r="F21" s="415"/>
      <c r="G21" s="415"/>
      <c r="H21" s="482"/>
      <c r="I21" s="472"/>
      <c r="L21" s="872"/>
      <c r="M21" s="760"/>
      <c r="O21" s="682"/>
    </row>
    <row r="22" spans="1:15" ht="15" customHeight="1" thickBot="1">
      <c r="A22" s="420"/>
      <c r="B22" s="421"/>
      <c r="C22" s="408" t="s">
        <v>498</v>
      </c>
      <c r="D22" s="415"/>
      <c r="E22" s="415"/>
      <c r="F22" s="415"/>
      <c r="G22" s="415"/>
      <c r="H22" s="482"/>
      <c r="I22" s="472"/>
      <c r="K22" s="416" t="s">
        <v>1822</v>
      </c>
      <c r="O22" s="811" t="s">
        <v>1735</v>
      </c>
    </row>
    <row r="23" spans="1:15" ht="17.25" customHeight="1">
      <c r="A23" s="420"/>
      <c r="B23" s="415"/>
      <c r="C23" s="435" t="s">
        <v>77</v>
      </c>
      <c r="E23" s="408"/>
      <c r="F23" s="415"/>
      <c r="G23" s="415"/>
      <c r="H23" s="482"/>
      <c r="I23" s="472"/>
      <c r="K23" s="984" t="s">
        <v>1816</v>
      </c>
      <c r="L23" s="1060">
        <v>43595</v>
      </c>
      <c r="M23" s="789"/>
      <c r="N23" s="790">
        <v>1800000</v>
      </c>
      <c r="O23" s="811">
        <v>289</v>
      </c>
    </row>
    <row r="24" spans="1:15" ht="15.75" customHeight="1">
      <c r="A24" s="420"/>
      <c r="B24" s="849">
        <v>43595</v>
      </c>
      <c r="C24" s="1042" t="s">
        <v>1570</v>
      </c>
      <c r="D24" s="416" t="s">
        <v>1557</v>
      </c>
      <c r="F24" s="411">
        <f>+N23</f>
        <v>1800000</v>
      </c>
      <c r="G24" s="415"/>
      <c r="H24" s="482"/>
      <c r="I24" s="472"/>
      <c r="K24" s="993" t="s">
        <v>1549</v>
      </c>
      <c r="L24" s="992" t="s">
        <v>1790</v>
      </c>
      <c r="M24" s="792"/>
      <c r="N24" s="793">
        <v>90000</v>
      </c>
      <c r="O24" s="811">
        <v>289</v>
      </c>
    </row>
    <row r="25" spans="1:15" ht="15.75" customHeight="1">
      <c r="A25" s="420"/>
      <c r="B25" s="428"/>
      <c r="D25" s="873" t="s">
        <v>1571</v>
      </c>
      <c r="E25" s="411">
        <f>+N24</f>
        <v>90000</v>
      </c>
      <c r="G25" s="415"/>
      <c r="H25" s="482"/>
      <c r="I25" s="472"/>
      <c r="K25" s="985" t="s">
        <v>1733</v>
      </c>
      <c r="L25" s="982" t="s">
        <v>1535</v>
      </c>
      <c r="M25" s="870"/>
      <c r="N25" s="986">
        <v>50000</v>
      </c>
      <c r="O25" s="811">
        <v>100</v>
      </c>
    </row>
    <row r="26" spans="1:15" ht="15.75" customHeight="1">
      <c r="A26" s="420"/>
      <c r="B26" s="902"/>
      <c r="C26" s="905" t="s">
        <v>1791</v>
      </c>
      <c r="D26" s="873" t="s">
        <v>1572</v>
      </c>
      <c r="E26" s="411">
        <f>N25*O24/O25</f>
        <v>144500</v>
      </c>
      <c r="G26" s="415"/>
      <c r="H26" s="482"/>
      <c r="I26" s="472"/>
      <c r="K26" s="985" t="s">
        <v>1797</v>
      </c>
      <c r="L26" s="982" t="s">
        <v>1536</v>
      </c>
      <c r="M26" s="870"/>
      <c r="N26" s="986">
        <v>12000</v>
      </c>
      <c r="O26" s="811">
        <v>105</v>
      </c>
    </row>
    <row r="27" spans="1:15" ht="15.75" customHeight="1">
      <c r="A27" s="420"/>
      <c r="B27" s="1080" t="s">
        <v>1809</v>
      </c>
      <c r="C27" s="905" t="s">
        <v>1792</v>
      </c>
      <c r="D27" s="994" t="s">
        <v>1573</v>
      </c>
      <c r="E27" s="1081">
        <f>ROUND(N26*O24/O26,0)</f>
        <v>33029</v>
      </c>
      <c r="G27" s="415"/>
      <c r="H27" s="482"/>
      <c r="I27" s="472"/>
      <c r="K27" s="985" t="s">
        <v>1798</v>
      </c>
      <c r="L27" s="982" t="s">
        <v>1542</v>
      </c>
      <c r="M27" s="870"/>
      <c r="N27" s="986">
        <v>300000</v>
      </c>
      <c r="O27" s="811">
        <v>137</v>
      </c>
    </row>
    <row r="28" spans="1:15" ht="15.75" customHeight="1">
      <c r="A28" s="420"/>
      <c r="B28" s="1083">
        <f>E27+E28</f>
        <v>665876</v>
      </c>
      <c r="C28" s="905" t="s">
        <v>1793</v>
      </c>
      <c r="D28" s="994" t="s">
        <v>1573</v>
      </c>
      <c r="E28" s="1082">
        <f>ROUND(300000*O23/O27,0)</f>
        <v>632847</v>
      </c>
      <c r="F28" s="681">
        <f>SUM(E25:E28)</f>
        <v>900376</v>
      </c>
      <c r="G28" s="1084">
        <f>F24-F28</f>
        <v>899624</v>
      </c>
      <c r="H28" s="482"/>
      <c r="I28" s="472"/>
      <c r="K28" s="987" t="s">
        <v>1734</v>
      </c>
      <c r="L28" s="1056">
        <v>44089</v>
      </c>
      <c r="M28" s="1058" t="s">
        <v>1794</v>
      </c>
      <c r="N28" s="988">
        <v>10000</v>
      </c>
      <c r="O28" s="811" t="s">
        <v>1556</v>
      </c>
    </row>
    <row r="29" spans="1:15" ht="21" customHeight="1" thickBot="1">
      <c r="A29" s="420"/>
      <c r="B29" s="849">
        <v>43575</v>
      </c>
      <c r="C29" s="1042" t="s">
        <v>1210</v>
      </c>
      <c r="D29" s="416" t="s">
        <v>1557</v>
      </c>
      <c r="F29" s="904">
        <f>+N31</f>
        <v>8000000</v>
      </c>
      <c r="G29" s="423"/>
      <c r="H29" s="482"/>
      <c r="I29" s="472"/>
      <c r="K29" s="989" t="s">
        <v>1741</v>
      </c>
      <c r="L29" s="1057">
        <v>43586</v>
      </c>
      <c r="M29" s="1059" t="s">
        <v>1795</v>
      </c>
      <c r="N29" s="991">
        <v>800000</v>
      </c>
      <c r="O29" s="811" t="s">
        <v>1796</v>
      </c>
    </row>
    <row r="30" spans="1:15" ht="21" customHeight="1" thickBot="1">
      <c r="A30" s="420"/>
      <c r="B30" s="849"/>
      <c r="C30" s="408"/>
      <c r="D30" s="873" t="s">
        <v>1571</v>
      </c>
      <c r="E30" s="904">
        <f>+N32</f>
        <v>1000</v>
      </c>
      <c r="G30" s="423"/>
      <c r="H30" s="482"/>
      <c r="I30" s="472"/>
      <c r="O30" s="811" t="s">
        <v>1735</v>
      </c>
    </row>
    <row r="31" spans="1:15" ht="15.75" customHeight="1">
      <c r="A31" s="420"/>
      <c r="B31" s="902"/>
      <c r="C31" s="905" t="s">
        <v>1800</v>
      </c>
      <c r="D31" s="873" t="s">
        <v>1572</v>
      </c>
      <c r="E31" s="1001">
        <f>N34*O31/O34</f>
        <v>2629900</v>
      </c>
      <c r="F31" s="681">
        <f>E30+E31</f>
        <v>2630900</v>
      </c>
      <c r="G31" s="423"/>
      <c r="H31" s="482"/>
      <c r="I31" s="472"/>
      <c r="K31" s="984" t="s">
        <v>1550</v>
      </c>
      <c r="L31" s="1061">
        <v>43575</v>
      </c>
      <c r="M31" s="789"/>
      <c r="N31" s="790">
        <v>8000000</v>
      </c>
      <c r="O31" s="811">
        <v>289</v>
      </c>
    </row>
    <row r="32" spans="1:15" ht="15.75" customHeight="1">
      <c r="A32" s="420"/>
      <c r="B32" s="415"/>
      <c r="D32" s="873" t="s">
        <v>1199</v>
      </c>
      <c r="E32" s="891"/>
      <c r="F32" s="416">
        <f>F29-F31</f>
        <v>5369100</v>
      </c>
      <c r="G32" s="423"/>
      <c r="H32" s="482"/>
      <c r="I32" s="472"/>
      <c r="K32" s="993" t="s">
        <v>1549</v>
      </c>
      <c r="L32" s="792"/>
      <c r="M32" s="792"/>
      <c r="N32" s="793">
        <v>1000</v>
      </c>
      <c r="O32" s="811">
        <v>289</v>
      </c>
    </row>
    <row r="33" spans="1:15" ht="18" customHeight="1">
      <c r="A33" s="420"/>
      <c r="D33" s="873" t="s">
        <v>1799</v>
      </c>
      <c r="E33" s="891"/>
      <c r="F33" s="1001"/>
      <c r="G33" s="1085">
        <f>F32-F33</f>
        <v>5369100</v>
      </c>
      <c r="H33" s="482">
        <f>+G33+G28</f>
        <v>6268724</v>
      </c>
      <c r="I33" s="472"/>
      <c r="K33" s="772" t="s">
        <v>1424</v>
      </c>
      <c r="L33" s="1006" t="s">
        <v>1743</v>
      </c>
      <c r="M33" s="871"/>
      <c r="N33" s="1002">
        <v>750000</v>
      </c>
      <c r="O33" s="682"/>
    </row>
    <row r="34" spans="1:15" ht="20.100000000000001" customHeight="1">
      <c r="A34" s="420"/>
      <c r="B34" s="421" t="s">
        <v>998</v>
      </c>
      <c r="C34" s="415"/>
      <c r="D34" s="415"/>
      <c r="E34" s="415"/>
      <c r="F34" s="415"/>
      <c r="G34" s="415"/>
      <c r="H34" s="482"/>
      <c r="I34" s="471"/>
      <c r="K34" s="993" t="s">
        <v>1569</v>
      </c>
      <c r="L34" s="792"/>
      <c r="M34" s="792"/>
      <c r="N34" s="1003">
        <v>910000</v>
      </c>
      <c r="O34" s="811">
        <v>100</v>
      </c>
    </row>
    <row r="35" spans="1:15" ht="16.5" customHeight="1" thickBot="1">
      <c r="A35" s="420"/>
      <c r="B35" s="636"/>
      <c r="C35" s="431" t="s">
        <v>1247</v>
      </c>
      <c r="D35" s="431"/>
      <c r="E35" s="431"/>
      <c r="F35" s="415"/>
      <c r="G35" s="411">
        <v>62710</v>
      </c>
      <c r="H35" s="482"/>
      <c r="I35" s="471"/>
      <c r="K35" s="989" t="s">
        <v>1552</v>
      </c>
      <c r="L35" s="1057">
        <v>44123</v>
      </c>
      <c r="M35" s="1059" t="s">
        <v>1794</v>
      </c>
      <c r="N35" s="991">
        <v>1000000</v>
      </c>
      <c r="O35" s="1101" t="s">
        <v>1744</v>
      </c>
    </row>
    <row r="36" spans="1:15" ht="16.5" customHeight="1">
      <c r="A36" s="420"/>
      <c r="B36" s="636" t="s">
        <v>1752</v>
      </c>
      <c r="C36" s="877" t="s">
        <v>1510</v>
      </c>
      <c r="D36" s="431"/>
      <c r="E36" s="878">
        <v>60000</v>
      </c>
      <c r="G36" s="411"/>
      <c r="H36" s="482"/>
      <c r="I36" s="471"/>
      <c r="O36" s="682"/>
    </row>
    <row r="37" spans="1:15" ht="13.5">
      <c r="A37" s="420"/>
      <c r="B37" s="589"/>
      <c r="C37" s="431" t="s">
        <v>1553</v>
      </c>
      <c r="E37" s="859" t="s">
        <v>1554</v>
      </c>
      <c r="F37" s="408"/>
      <c r="G37" s="462">
        <v>200000</v>
      </c>
      <c r="H37" s="482"/>
      <c r="I37" s="471"/>
      <c r="K37" s="416" t="s">
        <v>1514</v>
      </c>
      <c r="L37" s="901">
        <v>44084</v>
      </c>
      <c r="M37" s="901"/>
      <c r="O37" s="682"/>
    </row>
    <row r="38" spans="1:15" ht="17.25" customHeight="1">
      <c r="A38" s="420"/>
      <c r="B38" s="589"/>
      <c r="C38" s="431"/>
      <c r="D38" s="434"/>
      <c r="E38" s="433"/>
      <c r="F38" s="433"/>
      <c r="G38" s="480">
        <f>SUM(G35:G37)</f>
        <v>262710</v>
      </c>
      <c r="H38" s="482"/>
      <c r="I38" s="471"/>
      <c r="K38" s="416" t="s">
        <v>1820</v>
      </c>
      <c r="L38" s="901">
        <v>44077</v>
      </c>
      <c r="M38" s="901"/>
      <c r="O38" s="682"/>
    </row>
    <row r="39" spans="1:15" ht="15" customHeight="1">
      <c r="A39" s="420"/>
      <c r="B39" s="589"/>
      <c r="C39" s="415"/>
      <c r="D39" s="415"/>
      <c r="E39" s="415"/>
      <c r="F39" s="415"/>
      <c r="G39" s="437"/>
      <c r="H39" s="482">
        <f>+G38</f>
        <v>262710</v>
      </c>
      <c r="I39" s="472"/>
      <c r="K39" s="416" t="s">
        <v>1551</v>
      </c>
      <c r="L39" s="901">
        <v>44089</v>
      </c>
      <c r="M39" s="995">
        <v>10000</v>
      </c>
      <c r="N39" s="996" t="s">
        <v>1556</v>
      </c>
      <c r="O39" s="682"/>
    </row>
    <row r="40" spans="1:15" ht="15" customHeight="1">
      <c r="A40" s="420"/>
      <c r="B40" s="428"/>
      <c r="C40" s="435"/>
      <c r="D40" s="436"/>
      <c r="E40" s="415"/>
      <c r="F40" s="444"/>
      <c r="G40" s="437"/>
      <c r="H40" s="484"/>
      <c r="I40" s="534"/>
      <c r="K40" s="416" t="s">
        <v>1231</v>
      </c>
      <c r="L40" s="901">
        <v>43586</v>
      </c>
      <c r="M40" s="995">
        <v>800000</v>
      </c>
      <c r="N40" s="997" t="s">
        <v>1742</v>
      </c>
      <c r="O40" s="682"/>
    </row>
    <row r="41" spans="1:15" ht="15" customHeight="1">
      <c r="A41" s="420"/>
      <c r="B41" s="421" t="s">
        <v>501</v>
      </c>
      <c r="C41" s="415"/>
      <c r="D41" s="415"/>
      <c r="E41" s="428"/>
      <c r="F41" s="428"/>
      <c r="G41" s="424"/>
      <c r="H41" s="485">
        <f>SUM(H5:H39)</f>
        <v>16506384</v>
      </c>
      <c r="I41" s="472"/>
      <c r="K41" s="416" t="s">
        <v>1552</v>
      </c>
      <c r="L41" s="901">
        <v>44123</v>
      </c>
      <c r="M41" s="690">
        <v>1000000</v>
      </c>
      <c r="N41" s="996" t="s">
        <v>1745</v>
      </c>
      <c r="O41" s="766"/>
    </row>
    <row r="42" spans="1:15" ht="15" customHeight="1">
      <c r="A42" s="420" t="s">
        <v>1275</v>
      </c>
      <c r="B42" s="445" t="s">
        <v>999</v>
      </c>
      <c r="C42" s="415"/>
      <c r="D42" s="415"/>
      <c r="E42" s="415"/>
      <c r="F42" s="415"/>
      <c r="G42" s="415"/>
      <c r="H42" s="482"/>
      <c r="I42" s="471"/>
      <c r="O42" s="682"/>
    </row>
    <row r="43" spans="1:15" ht="15" customHeight="1">
      <c r="A43" s="420"/>
      <c r="B43" s="446"/>
      <c r="C43" s="435" t="s">
        <v>1512</v>
      </c>
      <c r="D43" s="415"/>
      <c r="E43" s="415"/>
      <c r="F43" s="415"/>
      <c r="G43" s="423"/>
      <c r="H43" s="482"/>
      <c r="I43" s="471"/>
      <c r="K43" s="1062" t="s">
        <v>1821</v>
      </c>
      <c r="L43" s="1062"/>
      <c r="N43" s="1063"/>
      <c r="O43" s="682"/>
    </row>
    <row r="44" spans="1:15" ht="15" customHeight="1">
      <c r="A44" s="420"/>
      <c r="B44" s="446"/>
      <c r="C44" s="431"/>
      <c r="D44" s="415"/>
      <c r="E44" s="415"/>
      <c r="F44" s="411"/>
      <c r="G44" s="423"/>
      <c r="H44" s="482"/>
      <c r="I44" s="471"/>
      <c r="K44" s="869" t="str">
        <f>+K39</f>
        <v>Cap Gain A/c</v>
      </c>
      <c r="L44" s="863">
        <f>+L39</f>
        <v>44089</v>
      </c>
      <c r="N44" s="416">
        <f>+M39</f>
        <v>10000</v>
      </c>
      <c r="O44" s="682"/>
    </row>
    <row r="45" spans="1:15" ht="12.75" customHeight="1">
      <c r="A45" s="420"/>
      <c r="B45" s="446"/>
      <c r="C45" s="431" t="s">
        <v>509</v>
      </c>
      <c r="D45" s="415"/>
      <c r="E45" s="415"/>
      <c r="F45" s="411">
        <v>140000</v>
      </c>
      <c r="G45" s="423"/>
      <c r="H45" s="482"/>
      <c r="I45" s="471"/>
      <c r="K45" s="869"/>
      <c r="L45" s="863"/>
      <c r="O45" s="682"/>
    </row>
    <row r="46" spans="1:15" ht="15" customHeight="1">
      <c r="A46" s="420"/>
      <c r="B46" s="446"/>
      <c r="C46" s="431"/>
      <c r="D46" s="415"/>
      <c r="E46" s="415"/>
      <c r="F46" s="448">
        <f>SUM(F44:F45)</f>
        <v>140000</v>
      </c>
      <c r="G46" s="415">
        <f>IF(F46&gt;150000,150000,F46)</f>
        <v>140000</v>
      </c>
      <c r="H46" s="482"/>
      <c r="I46" s="471"/>
      <c r="O46" s="682"/>
    </row>
    <row r="47" spans="1:15" ht="15" customHeight="1">
      <c r="A47" s="420"/>
      <c r="B47" s="446"/>
      <c r="C47" s="449" t="s">
        <v>1567</v>
      </c>
      <c r="D47" s="415"/>
      <c r="E47" s="415"/>
      <c r="F47" s="450"/>
      <c r="G47" s="411">
        <v>10000</v>
      </c>
      <c r="H47" s="482"/>
      <c r="I47" s="471"/>
      <c r="O47" s="682"/>
    </row>
    <row r="48" spans="1:15" ht="15" customHeight="1">
      <c r="A48" s="420"/>
      <c r="B48" s="446"/>
      <c r="C48" s="449" t="s">
        <v>1249</v>
      </c>
      <c r="D48" s="415"/>
      <c r="E48" s="415"/>
      <c r="F48" s="415"/>
      <c r="G48" s="411">
        <v>50000</v>
      </c>
      <c r="H48" s="482"/>
      <c r="I48" s="471"/>
    </row>
    <row r="49" spans="1:14" ht="15" customHeight="1">
      <c r="A49" s="420"/>
      <c r="B49" s="446"/>
      <c r="C49" s="449" t="s">
        <v>852</v>
      </c>
      <c r="E49" s="713" t="s">
        <v>1568</v>
      </c>
      <c r="G49" s="416">
        <v>25000</v>
      </c>
      <c r="H49" s="482"/>
      <c r="I49" s="471"/>
      <c r="K49" s="713"/>
      <c r="L49" s="682"/>
    </row>
    <row r="50" spans="1:14" ht="15" customHeight="1">
      <c r="A50" s="420"/>
      <c r="B50" s="446"/>
      <c r="C50" s="449" t="s">
        <v>1216</v>
      </c>
      <c r="E50" s="416" t="s">
        <v>1555</v>
      </c>
      <c r="G50" s="416">
        <v>78000</v>
      </c>
      <c r="H50" s="482"/>
      <c r="I50" s="471"/>
    </row>
    <row r="51" spans="1:14" ht="15" customHeight="1">
      <c r="A51" s="420"/>
      <c r="B51" s="446"/>
      <c r="C51" s="449" t="s">
        <v>1428</v>
      </c>
      <c r="E51" s="416" t="s">
        <v>1436</v>
      </c>
      <c r="G51" s="416">
        <v>110000</v>
      </c>
      <c r="H51" s="482"/>
      <c r="I51" s="471"/>
    </row>
    <row r="52" spans="1:14" ht="15" customHeight="1">
      <c r="A52" s="420"/>
      <c r="B52" s="415"/>
      <c r="C52" s="449" t="s">
        <v>979</v>
      </c>
      <c r="D52" s="415"/>
      <c r="E52" s="428"/>
      <c r="F52" s="428"/>
      <c r="G52" s="447">
        <f>IF(G35&gt;10000, 10000, G35)</f>
        <v>10000</v>
      </c>
      <c r="H52" s="482"/>
      <c r="I52" s="471"/>
    </row>
    <row r="53" spans="1:14">
      <c r="A53" s="420"/>
      <c r="B53" s="415"/>
      <c r="C53" s="543" t="s">
        <v>853</v>
      </c>
      <c r="D53" s="415"/>
      <c r="E53" s="428"/>
      <c r="F53" s="428"/>
      <c r="G53" s="411"/>
      <c r="H53" s="482">
        <f>SUM(G46:G53)</f>
        <v>423000</v>
      </c>
      <c r="I53" s="472"/>
    </row>
    <row r="54" spans="1:14" ht="15.75" customHeight="1" thickBot="1">
      <c r="A54" s="420"/>
      <c r="B54" s="451" t="s">
        <v>777</v>
      </c>
      <c r="C54" s="415"/>
      <c r="D54" s="415"/>
      <c r="E54" s="452">
        <f>IF((H41-H53)&lt;0,0,(H41-H53))</f>
        <v>16083384</v>
      </c>
      <c r="F54" s="453" t="s">
        <v>779</v>
      </c>
      <c r="G54" s="440"/>
      <c r="H54" s="486">
        <f>ROUND((E54/10),0)*10</f>
        <v>16083380</v>
      </c>
      <c r="I54" s="475"/>
      <c r="K54" s="1136" t="s">
        <v>1559</v>
      </c>
      <c r="L54" s="1136"/>
    </row>
    <row r="55" spans="1:14" ht="15" customHeight="1" thickTop="1">
      <c r="A55" s="420"/>
      <c r="B55" s="450" t="s">
        <v>778</v>
      </c>
      <c r="C55" s="415"/>
      <c r="D55" s="415"/>
      <c r="E55" s="444" t="s">
        <v>521</v>
      </c>
      <c r="F55" s="454" t="s">
        <v>522</v>
      </c>
      <c r="G55" s="444" t="s">
        <v>524</v>
      </c>
      <c r="H55" s="487"/>
      <c r="I55" s="471"/>
      <c r="K55" s="868" t="s">
        <v>1817</v>
      </c>
      <c r="L55" s="868" t="s">
        <v>1374</v>
      </c>
      <c r="N55" s="416">
        <v>0</v>
      </c>
    </row>
    <row r="56" spans="1:14" ht="15" customHeight="1">
      <c r="A56" s="420"/>
      <c r="B56" s="883">
        <v>24912</v>
      </c>
      <c r="C56" s="467">
        <f>IF(B56&lt;21277,"Sr Citizen",0)</f>
        <v>0</v>
      </c>
      <c r="D56" s="653" t="s">
        <v>1562</v>
      </c>
      <c r="E56" s="455">
        <f>H54-E57</f>
        <v>9814656</v>
      </c>
      <c r="F56" s="456"/>
      <c r="G56" s="415">
        <f>IF(+C56="Sr Citizen",ROUND(IF(E56&gt;1000000,(((E56-1000000)*0.3)+110000),IF(E56&gt;500000,(((E56-500000)*0.2)+10000),IF(E56&gt;300000,((E56-300000)*0.05),0))),0),ROUND(IF(E56&gt;1000000,(((E56-1000000)*0.3)+112500),IF(E56&gt;500000,(((E56-500000)*0.2)+12500),IF(E56&gt;250000,((E56-250000)*0.05),0))),0))</f>
        <v>2756897</v>
      </c>
      <c r="H56" s="487"/>
      <c r="I56" s="471"/>
      <c r="K56" s="868" t="s">
        <v>1818</v>
      </c>
      <c r="L56" s="821">
        <v>0.05</v>
      </c>
      <c r="M56" s="415"/>
      <c r="N56" s="416">
        <v>12500</v>
      </c>
    </row>
    <row r="57" spans="1:14" ht="15" customHeight="1">
      <c r="A57" s="420"/>
      <c r="C57" s="524"/>
      <c r="D57" s="653" t="s">
        <v>1563</v>
      </c>
      <c r="E57" s="753">
        <f>+H33</f>
        <v>6268724</v>
      </c>
      <c r="F57" s="880">
        <v>0.2</v>
      </c>
      <c r="G57" s="527">
        <f>ROUND(E57*F57,0)</f>
        <v>1253745</v>
      </c>
      <c r="H57" s="489">
        <f>+G56+G57</f>
        <v>4010642</v>
      </c>
      <c r="I57" s="472"/>
      <c r="K57" s="868" t="s">
        <v>1819</v>
      </c>
      <c r="L57" s="821">
        <v>0.2</v>
      </c>
      <c r="N57" s="416">
        <v>100000</v>
      </c>
    </row>
    <row r="58" spans="1:14" ht="15" customHeight="1">
      <c r="A58" s="420"/>
      <c r="B58" s="601" t="s">
        <v>1564</v>
      </c>
      <c r="C58" s="524"/>
      <c r="D58" s="678"/>
      <c r="E58" s="753"/>
      <c r="G58" s="526"/>
      <c r="H58" s="696">
        <f>IF(H54&gt;10000000,H57*15%,IF(H54&gt;5000000,H57*10%,0))</f>
        <v>601596.29999999993</v>
      </c>
      <c r="I58" s="472"/>
      <c r="K58" s="685">
        <f>E56-1000000</f>
        <v>8814656</v>
      </c>
      <c r="L58" s="821">
        <v>0.3</v>
      </c>
      <c r="N58" s="685">
        <f>K58*L58</f>
        <v>2644396.7999999998</v>
      </c>
    </row>
    <row r="59" spans="1:14" ht="15" customHeight="1" thickBot="1">
      <c r="A59" s="420"/>
      <c r="C59" s="524"/>
      <c r="D59" s="415"/>
      <c r="E59" s="753"/>
      <c r="F59" s="754"/>
      <c r="G59" s="526"/>
      <c r="H59" s="489">
        <f>H57+H58</f>
        <v>4612238.3</v>
      </c>
      <c r="I59" s="472"/>
      <c r="N59" s="1093">
        <f>SUM(N55:N58)</f>
        <v>2756896.8</v>
      </c>
    </row>
    <row r="60" spans="1:14" ht="15" customHeight="1" thickTop="1">
      <c r="A60" s="420"/>
      <c r="B60" s="416" t="s">
        <v>1707</v>
      </c>
      <c r="C60" s="415"/>
      <c r="D60" s="456"/>
      <c r="E60" s="458"/>
      <c r="F60" s="415"/>
      <c r="G60" s="428"/>
      <c r="H60" s="528">
        <f>ROUND((H59)*0.04,0)</f>
        <v>184490</v>
      </c>
      <c r="I60" s="474"/>
    </row>
    <row r="61" spans="1:14" ht="15" customHeight="1">
      <c r="A61" s="420"/>
      <c r="B61" s="450" t="s">
        <v>565</v>
      </c>
      <c r="C61" s="415"/>
      <c r="D61" s="456"/>
      <c r="E61" s="458"/>
      <c r="F61" s="415"/>
      <c r="G61" s="428"/>
      <c r="H61" s="488">
        <f>SUM(H59:H60)</f>
        <v>4796728.3</v>
      </c>
      <c r="I61" s="472"/>
    </row>
    <row r="62" spans="1:14" ht="15" customHeight="1">
      <c r="A62" s="420"/>
      <c r="B62" s="431" t="s">
        <v>1787</v>
      </c>
      <c r="C62" s="415"/>
      <c r="D62" s="456"/>
      <c r="E62" s="458"/>
      <c r="F62" s="415"/>
      <c r="G62" s="428"/>
      <c r="H62" s="488"/>
      <c r="I62" s="472"/>
    </row>
    <row r="63" spans="1:14" ht="15" customHeight="1">
      <c r="A63" s="420"/>
      <c r="B63" s="431" t="s">
        <v>1788</v>
      </c>
      <c r="C63" s="415"/>
      <c r="D63" s="456"/>
      <c r="E63" s="458"/>
      <c r="F63" s="415"/>
      <c r="G63" s="428"/>
      <c r="H63" s="696"/>
      <c r="I63" s="473"/>
    </row>
    <row r="64" spans="1:14" ht="15" customHeight="1">
      <c r="A64" s="420"/>
      <c r="B64" s="450"/>
      <c r="C64" s="415"/>
      <c r="D64" s="456"/>
      <c r="E64" s="458"/>
      <c r="F64" s="415"/>
      <c r="G64" s="428"/>
      <c r="H64" s="488">
        <f>H61+H63</f>
        <v>4796728.3</v>
      </c>
      <c r="I64" s="472"/>
    </row>
    <row r="65" spans="1:10" ht="15" customHeight="1">
      <c r="A65" s="420"/>
      <c r="B65" s="421" t="s">
        <v>571</v>
      </c>
      <c r="C65" s="428"/>
      <c r="D65" s="456"/>
      <c r="E65" s="428"/>
      <c r="F65" s="428"/>
      <c r="G65" s="428"/>
      <c r="H65" s="490"/>
      <c r="I65" s="471"/>
    </row>
    <row r="66" spans="1:10" ht="15" customHeight="1">
      <c r="A66" s="420"/>
      <c r="B66" s="667"/>
      <c r="C66" s="1115" t="s">
        <v>1430</v>
      </c>
      <c r="D66" s="1115"/>
      <c r="E66" s="705">
        <v>43724</v>
      </c>
      <c r="F66" s="750"/>
      <c r="G66" s="447">
        <v>85000</v>
      </c>
      <c r="H66" s="482"/>
      <c r="I66" s="472"/>
    </row>
    <row r="67" spans="1:10" ht="15" customHeight="1">
      <c r="A67" s="420"/>
      <c r="B67" s="588"/>
      <c r="C67" s="750" t="s">
        <v>1429</v>
      </c>
      <c r="D67" s="750"/>
      <c r="E67" s="750"/>
      <c r="F67" s="750"/>
      <c r="G67" s="410">
        <v>90000</v>
      </c>
      <c r="H67" s="482"/>
      <c r="I67" s="472"/>
    </row>
    <row r="68" spans="1:10" ht="15" customHeight="1">
      <c r="A68" s="420"/>
      <c r="B68" s="588"/>
      <c r="C68" s="1115" t="s">
        <v>1430</v>
      </c>
      <c r="D68" s="1115"/>
      <c r="E68" s="705">
        <v>43921</v>
      </c>
      <c r="F68" s="750"/>
      <c r="G68" s="410">
        <v>120000</v>
      </c>
      <c r="H68" s="482"/>
      <c r="I68" s="472"/>
    </row>
    <row r="69" spans="1:10" ht="12.75" customHeight="1" thickBot="1">
      <c r="A69" s="414"/>
      <c r="B69" s="477"/>
      <c r="C69" s="751"/>
      <c r="D69" s="751"/>
      <c r="E69" s="709"/>
      <c r="F69" s="751"/>
      <c r="G69" s="481"/>
      <c r="H69" s="493">
        <f>SUM(G66:G69)</f>
        <v>295000</v>
      </c>
      <c r="I69" s="478"/>
    </row>
    <row r="70" spans="1:10" ht="18" customHeight="1" thickBot="1">
      <c r="A70" s="494"/>
      <c r="B70" s="710" t="str">
        <f>IF(H70=0,"TAX  PAYABLE / REFUND ",IF(H70&lt;0,"REFUND","TAX  PAYABLE"))</f>
        <v>TAX  PAYABLE</v>
      </c>
      <c r="C70" s="706"/>
      <c r="D70" s="751"/>
      <c r="E70" s="707"/>
      <c r="F70" s="708" t="s">
        <v>776</v>
      </c>
      <c r="G70" s="497"/>
      <c r="H70" s="499">
        <f>H64-H69</f>
        <v>4501728.3</v>
      </c>
      <c r="I70" s="500"/>
    </row>
    <row r="71" spans="1:10" ht="18" customHeight="1">
      <c r="A71" s="808"/>
      <c r="B71" s="899"/>
      <c r="C71" s="809"/>
      <c r="D71" s="752"/>
      <c r="E71" s="428"/>
      <c r="G71" s="894" t="s">
        <v>1578</v>
      </c>
      <c r="H71" s="811" t="s">
        <v>1586</v>
      </c>
      <c r="I71" s="810"/>
    </row>
    <row r="72" spans="1:10">
      <c r="A72" s="1137"/>
      <c r="B72" s="1137"/>
      <c r="E72" s="554"/>
      <c r="F72" s="554"/>
      <c r="G72" s="554"/>
      <c r="H72" s="864" t="s">
        <v>1722</v>
      </c>
      <c r="J72" s="554"/>
    </row>
    <row r="73" spans="1:10" ht="13.5" thickBot="1">
      <c r="A73" s="900"/>
      <c r="B73" s="900"/>
      <c r="E73" s="554"/>
      <c r="F73" s="554"/>
      <c r="G73" s="554"/>
      <c r="H73" s="864"/>
      <c r="J73" s="554"/>
    </row>
    <row r="74" spans="1:10" ht="13.5">
      <c r="E74" s="884" t="s">
        <v>1534</v>
      </c>
      <c r="F74" s="885" t="s">
        <v>1566</v>
      </c>
    </row>
    <row r="75" spans="1:10">
      <c r="E75" s="886" t="s">
        <v>1535</v>
      </c>
      <c r="F75" s="887">
        <v>100</v>
      </c>
    </row>
    <row r="76" spans="1:10">
      <c r="E76" s="886" t="s">
        <v>1536</v>
      </c>
      <c r="F76" s="887">
        <v>105</v>
      </c>
    </row>
    <row r="77" spans="1:10">
      <c r="E77" s="886" t="s">
        <v>1537</v>
      </c>
      <c r="F77" s="887">
        <v>109</v>
      </c>
    </row>
    <row r="78" spans="1:10">
      <c r="E78" s="886" t="s">
        <v>1538</v>
      </c>
      <c r="F78" s="887">
        <v>113</v>
      </c>
    </row>
    <row r="79" spans="1:10">
      <c r="E79" s="886" t="s">
        <v>1539</v>
      </c>
      <c r="F79" s="887">
        <v>117</v>
      </c>
    </row>
    <row r="80" spans="1:10">
      <c r="E80" s="886" t="s">
        <v>1540</v>
      </c>
      <c r="F80" s="887">
        <v>122</v>
      </c>
    </row>
    <row r="81" spans="5:6">
      <c r="E81" s="886" t="s">
        <v>1541</v>
      </c>
      <c r="F81" s="887">
        <v>129</v>
      </c>
    </row>
    <row r="82" spans="5:6">
      <c r="E82" s="886" t="s">
        <v>1542</v>
      </c>
      <c r="F82" s="887">
        <v>137</v>
      </c>
    </row>
    <row r="83" spans="5:6">
      <c r="E83" s="886" t="s">
        <v>1543</v>
      </c>
      <c r="F83" s="887">
        <v>148</v>
      </c>
    </row>
    <row r="84" spans="5:6">
      <c r="E84" s="886" t="s">
        <v>1544</v>
      </c>
      <c r="F84" s="887">
        <v>167</v>
      </c>
    </row>
    <row r="85" spans="5:6">
      <c r="E85" s="886" t="s">
        <v>1545</v>
      </c>
      <c r="F85" s="887">
        <v>184</v>
      </c>
    </row>
    <row r="86" spans="5:6">
      <c r="E86" s="886" t="s">
        <v>1546</v>
      </c>
      <c r="F86" s="887">
        <v>200</v>
      </c>
    </row>
    <row r="87" spans="5:6">
      <c r="E87" s="886" t="s">
        <v>1547</v>
      </c>
      <c r="F87" s="887">
        <v>220</v>
      </c>
    </row>
    <row r="88" spans="5:6">
      <c r="E88" s="886" t="s">
        <v>1427</v>
      </c>
      <c r="F88" s="887">
        <v>240</v>
      </c>
    </row>
    <row r="89" spans="5:6">
      <c r="E89" s="886" t="s">
        <v>1423</v>
      </c>
      <c r="F89" s="887">
        <v>254</v>
      </c>
    </row>
    <row r="90" spans="5:6">
      <c r="E90" s="886" t="s">
        <v>1070</v>
      </c>
      <c r="F90" s="887">
        <v>264</v>
      </c>
    </row>
    <row r="91" spans="5:6">
      <c r="E91" s="886" t="s">
        <v>1548</v>
      </c>
      <c r="F91" s="887">
        <v>272</v>
      </c>
    </row>
    <row r="92" spans="5:6">
      <c r="E92" s="886" t="s">
        <v>1565</v>
      </c>
      <c r="F92" s="887">
        <v>280</v>
      </c>
    </row>
    <row r="93" spans="5:6" ht="13.5" thickBot="1">
      <c r="E93" s="888" t="s">
        <v>1790</v>
      </c>
      <c r="F93" s="889">
        <v>289</v>
      </c>
    </row>
  </sheetData>
  <mergeCells count="8">
    <mergeCell ref="K54:L54"/>
    <mergeCell ref="A72:B72"/>
    <mergeCell ref="C66:D66"/>
    <mergeCell ref="C68:D68"/>
    <mergeCell ref="A1:C1"/>
    <mergeCell ref="D1:I1"/>
    <mergeCell ref="A2:C2"/>
    <mergeCell ref="D2:I2"/>
  </mergeCells>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scale="74" orientation="portrait" r:id="rId1"/>
  <headerFooter alignWithMargins="0"/>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95"/>
  <sheetViews>
    <sheetView showZeros="0" topLeftCell="A13" zoomScale="130" zoomScaleNormal="130" workbookViewId="0">
      <selection activeCell="B27" sqref="B27"/>
    </sheetView>
  </sheetViews>
  <sheetFormatPr defaultColWidth="9.140625" defaultRowHeight="12.75"/>
  <cols>
    <col min="1" max="1" width="1.7109375" style="460" customWidth="1"/>
    <col min="2" max="2" width="8.140625" style="416" customWidth="1"/>
    <col min="3" max="3" width="12.28515625" style="416" customWidth="1"/>
    <col min="4" max="4" width="14.28515625" style="416" customWidth="1"/>
    <col min="5" max="5" width="15.85546875" style="416" customWidth="1"/>
    <col min="6" max="6" width="11.7109375" style="416" customWidth="1"/>
    <col min="7" max="7" width="11.42578125" style="416" customWidth="1"/>
    <col min="8" max="8" width="11.140625" style="416" customWidth="1"/>
    <col min="9" max="9" width="1.85546875" style="476" customWidth="1"/>
    <col min="10" max="10" width="1.42578125" style="416" customWidth="1"/>
    <col min="11" max="11" width="15.28515625" style="416" customWidth="1"/>
    <col min="12" max="12" width="11.42578125" style="416" customWidth="1"/>
    <col min="13" max="13" width="7.7109375" style="416" customWidth="1"/>
    <col min="14" max="14" width="10.42578125" style="416" customWidth="1"/>
    <col min="15" max="15" width="10.28515625" style="416" customWidth="1"/>
    <col min="16" max="16384" width="9.140625" style="416"/>
  </cols>
  <sheetData>
    <row r="1" spans="1:12" s="413" customFormat="1" ht="18.75" customHeight="1">
      <c r="A1" s="1124" t="s">
        <v>1728</v>
      </c>
      <c r="B1" s="1125"/>
      <c r="C1" s="1126"/>
      <c r="D1" s="1130" t="s">
        <v>1721</v>
      </c>
      <c r="E1" s="1131"/>
      <c r="F1" s="1131"/>
      <c r="G1" s="1131"/>
      <c r="H1" s="1131"/>
      <c r="I1" s="1132"/>
    </row>
    <row r="2" spans="1:12" ht="18" customHeight="1" thickBot="1">
      <c r="A2" s="1127" t="s">
        <v>1671</v>
      </c>
      <c r="B2" s="1128"/>
      <c r="C2" s="1129"/>
      <c r="D2" s="1111" t="s">
        <v>562</v>
      </c>
      <c r="E2" s="1112"/>
      <c r="F2" s="1112"/>
      <c r="G2" s="1112"/>
      <c r="H2" s="1112"/>
      <c r="I2" s="1113"/>
      <c r="K2" s="956"/>
      <c r="L2" s="413"/>
    </row>
    <row r="3" spans="1:12" ht="16.5" customHeight="1">
      <c r="A3" s="417"/>
      <c r="B3" s="418" t="s">
        <v>994</v>
      </c>
      <c r="C3" s="419"/>
      <c r="D3" s="419"/>
      <c r="E3" s="419"/>
      <c r="F3" s="419"/>
      <c r="G3" s="419"/>
      <c r="H3" s="501" t="s">
        <v>1013</v>
      </c>
      <c r="I3" s="470"/>
      <c r="K3" s="956"/>
      <c r="L3" s="413"/>
    </row>
    <row r="4" spans="1:12" ht="15" customHeight="1">
      <c r="A4" s="420"/>
      <c r="B4" s="421"/>
      <c r="C4" s="422" t="s">
        <v>567</v>
      </c>
      <c r="D4" s="422"/>
      <c r="E4" s="431"/>
      <c r="F4" s="423"/>
      <c r="G4" s="411"/>
      <c r="H4" s="482"/>
      <c r="I4" s="471"/>
      <c r="K4" s="956"/>
      <c r="L4" s="413"/>
    </row>
    <row r="5" spans="1:12" ht="15" customHeight="1">
      <c r="A5" s="420"/>
      <c r="B5" s="415"/>
      <c r="C5" s="408" t="s">
        <v>848</v>
      </c>
      <c r="D5" s="415"/>
      <c r="E5" s="415"/>
      <c r="F5" s="415"/>
      <c r="G5" s="523"/>
      <c r="H5" s="482">
        <f>SUM(G4:G5)</f>
        <v>0</v>
      </c>
      <c r="I5" s="472"/>
      <c r="K5" s="713"/>
    </row>
    <row r="6" spans="1:12" ht="15" customHeight="1">
      <c r="A6" s="420"/>
      <c r="B6" s="426" t="s">
        <v>995</v>
      </c>
      <c r="C6" s="415"/>
      <c r="D6" s="415"/>
      <c r="E6" s="525" t="s">
        <v>1014</v>
      </c>
      <c r="F6" s="423"/>
      <c r="G6" s="415"/>
      <c r="H6" s="482"/>
      <c r="I6" s="472"/>
      <c r="K6" s="713"/>
    </row>
    <row r="7" spans="1:12" ht="15" customHeight="1">
      <c r="A7" s="420"/>
      <c r="B7" s="426"/>
      <c r="C7" s="583" t="s">
        <v>1164</v>
      </c>
      <c r="D7" s="422"/>
      <c r="E7" s="672"/>
      <c r="F7" s="679"/>
      <c r="G7" s="411">
        <v>900000</v>
      </c>
      <c r="H7" s="482"/>
      <c r="I7" s="472"/>
      <c r="K7" s="713"/>
    </row>
    <row r="8" spans="1:12" ht="15" customHeight="1">
      <c r="A8" s="420"/>
      <c r="B8" s="426"/>
      <c r="C8" s="408" t="s">
        <v>769</v>
      </c>
      <c r="D8" s="415"/>
      <c r="E8" s="408"/>
      <c r="F8" s="703"/>
      <c r="G8" s="479">
        <v>20000</v>
      </c>
      <c r="H8" s="482"/>
      <c r="I8" s="472"/>
      <c r="K8" s="713"/>
    </row>
    <row r="9" spans="1:12" ht="15" customHeight="1">
      <c r="A9" s="420"/>
      <c r="B9" s="426"/>
      <c r="C9" s="408"/>
      <c r="D9" s="415"/>
      <c r="E9" s="408"/>
      <c r="F9" s="415"/>
      <c r="G9" s="423">
        <f>IF((G7-G8)&lt;0,0,(G7-G8))</f>
        <v>880000</v>
      </c>
      <c r="H9" s="482"/>
      <c r="I9" s="472"/>
      <c r="K9" s="713"/>
    </row>
    <row r="10" spans="1:12" ht="15" customHeight="1">
      <c r="A10" s="420"/>
      <c r="B10" s="426"/>
      <c r="C10" s="590" t="s">
        <v>514</v>
      </c>
      <c r="D10" s="415"/>
      <c r="E10" s="408" t="s">
        <v>1516</v>
      </c>
      <c r="F10" s="415">
        <f>G9*0.3</f>
        <v>264000</v>
      </c>
      <c r="G10" s="423"/>
      <c r="H10" s="482"/>
      <c r="I10" s="472"/>
      <c r="K10" s="713"/>
    </row>
    <row r="11" spans="1:12" ht="15" customHeight="1">
      <c r="A11" s="420"/>
      <c r="B11" s="426"/>
      <c r="D11" s="415"/>
      <c r="E11" s="879" t="s">
        <v>1558</v>
      </c>
      <c r="F11" s="681">
        <v>1000000</v>
      </c>
      <c r="G11" s="876">
        <f>F10+F11</f>
        <v>1264000</v>
      </c>
      <c r="H11" s="482"/>
      <c r="I11" s="472"/>
      <c r="K11" s="713"/>
    </row>
    <row r="12" spans="1:12" ht="15" customHeight="1">
      <c r="A12" s="420"/>
      <c r="B12" s="426"/>
      <c r="D12" s="415"/>
      <c r="E12" s="879"/>
      <c r="F12" s="415"/>
      <c r="G12" s="875">
        <f>G9-G11</f>
        <v>-384000</v>
      </c>
      <c r="H12" s="482"/>
      <c r="I12" s="472"/>
      <c r="K12" s="713"/>
    </row>
    <row r="13" spans="1:12" ht="15" customHeight="1">
      <c r="A13" s="420"/>
      <c r="B13" s="426"/>
      <c r="D13" s="637" t="s">
        <v>1646</v>
      </c>
      <c r="E13" s="940"/>
      <c r="F13" s="637"/>
      <c r="G13" s="941">
        <v>184000</v>
      </c>
      <c r="H13" s="482">
        <f>G12+G13</f>
        <v>-200000</v>
      </c>
      <c r="I13" s="472"/>
      <c r="K13" s="713"/>
      <c r="L13" s="416" t="s">
        <v>1732</v>
      </c>
    </row>
    <row r="14" spans="1:12" ht="15" customHeight="1">
      <c r="A14" s="420"/>
      <c r="B14" s="421" t="s">
        <v>996</v>
      </c>
      <c r="C14" s="408"/>
      <c r="D14" s="415"/>
      <c r="E14" s="429"/>
      <c r="F14" s="415"/>
      <c r="G14" s="415"/>
      <c r="H14" s="482"/>
      <c r="I14" s="472"/>
    </row>
    <row r="15" spans="1:12" ht="15" customHeight="1">
      <c r="A15" s="420"/>
      <c r="B15" s="421"/>
      <c r="C15" s="893" t="s">
        <v>1587</v>
      </c>
      <c r="D15" s="415"/>
      <c r="E15" s="939" t="s">
        <v>1642</v>
      </c>
      <c r="F15" s="415"/>
      <c r="G15" s="415"/>
      <c r="H15" s="482"/>
      <c r="I15" s="472"/>
    </row>
    <row r="16" spans="1:12" ht="15" customHeight="1">
      <c r="A16" s="420"/>
      <c r="B16" s="415"/>
      <c r="C16" s="408" t="s">
        <v>1434</v>
      </c>
      <c r="D16" s="415"/>
      <c r="E16" s="700"/>
      <c r="F16" s="455">
        <f>+'ITR3-19+'!C37</f>
        <v>10589800</v>
      </c>
      <c r="G16" s="415"/>
      <c r="H16" s="482"/>
      <c r="I16" s="472"/>
    </row>
    <row r="17" spans="1:15" ht="15" customHeight="1">
      <c r="A17" s="420"/>
      <c r="B17" s="415"/>
      <c r="C17" s="697" t="s">
        <v>1431</v>
      </c>
      <c r="D17" s="415"/>
      <c r="E17" s="700"/>
      <c r="F17" s="415">
        <f>+'ITR3-19+'!C57</f>
        <v>329000</v>
      </c>
      <c r="G17" s="415"/>
      <c r="H17" s="482"/>
      <c r="I17" s="472"/>
    </row>
    <row r="18" spans="1:15" ht="15" customHeight="1">
      <c r="A18" s="420"/>
      <c r="B18" s="415"/>
      <c r="C18" s="697" t="s">
        <v>1432</v>
      </c>
      <c r="D18" s="415"/>
      <c r="E18" s="700"/>
      <c r="F18" s="875">
        <f>+'ITR3-19+'!C58</f>
        <v>-40000</v>
      </c>
      <c r="G18" s="415"/>
      <c r="H18" s="482"/>
      <c r="I18" s="472"/>
    </row>
    <row r="19" spans="1:15" ht="15" customHeight="1">
      <c r="A19" s="420"/>
      <c r="B19" s="408">
        <v>520000</v>
      </c>
      <c r="C19" s="695" t="s">
        <v>1433</v>
      </c>
      <c r="D19" s="408">
        <f>+'ITR3-19+'!F82</f>
        <v>0</v>
      </c>
      <c r="F19" s="874">
        <f>(D19-B19)*-1</f>
        <v>520000</v>
      </c>
      <c r="G19" s="840">
        <f>F16+F17+F18+F19</f>
        <v>11398800</v>
      </c>
      <c r="H19" s="483">
        <f>+G19</f>
        <v>11398800</v>
      </c>
      <c r="I19" s="472"/>
    </row>
    <row r="20" spans="1:15" ht="15" customHeight="1">
      <c r="A20" s="420"/>
      <c r="B20" s="421" t="s">
        <v>997</v>
      </c>
      <c r="C20" s="415"/>
      <c r="D20" s="415"/>
      <c r="E20" s="415"/>
      <c r="F20" s="415"/>
      <c r="G20" s="415"/>
      <c r="H20" s="482"/>
      <c r="I20" s="472"/>
      <c r="K20" s="416" t="s">
        <v>1750</v>
      </c>
      <c r="L20" s="872"/>
      <c r="M20" s="1051"/>
    </row>
    <row r="21" spans="1:15" ht="15" customHeight="1" thickBot="1">
      <c r="A21" s="420"/>
      <c r="B21" s="421"/>
      <c r="C21" s="408" t="s">
        <v>498</v>
      </c>
      <c r="D21" s="415"/>
      <c r="E21" s="415"/>
      <c r="F21" s="415"/>
      <c r="G21" s="415"/>
      <c r="H21" s="482"/>
      <c r="I21" s="472"/>
      <c r="K21" s="416" t="s">
        <v>1779</v>
      </c>
      <c r="O21" s="957" t="s">
        <v>1735</v>
      </c>
    </row>
    <row r="22" spans="1:15" ht="17.25" customHeight="1">
      <c r="A22" s="420"/>
      <c r="B22" s="415"/>
      <c r="C22" s="435" t="s">
        <v>77</v>
      </c>
      <c r="E22" s="408"/>
      <c r="F22" s="415"/>
      <c r="G22" s="415"/>
      <c r="H22" s="482"/>
      <c r="I22" s="472"/>
      <c r="K22" s="984" t="s">
        <v>1749</v>
      </c>
      <c r="L22" s="999">
        <v>43230</v>
      </c>
      <c r="M22" s="789"/>
      <c r="N22" s="790">
        <v>1800000</v>
      </c>
      <c r="O22" s="957">
        <v>280</v>
      </c>
    </row>
    <row r="23" spans="1:15" ht="15.75" customHeight="1">
      <c r="A23" s="420"/>
      <c r="B23" s="849">
        <v>43230</v>
      </c>
      <c r="C23" s="1042" t="s">
        <v>1570</v>
      </c>
      <c r="D23" s="416" t="s">
        <v>1557</v>
      </c>
      <c r="F23" s="411">
        <f>+N22</f>
        <v>1800000</v>
      </c>
      <c r="G23" s="415"/>
      <c r="H23" s="482"/>
      <c r="I23" s="472"/>
      <c r="K23" s="993" t="s">
        <v>1549</v>
      </c>
      <c r="L23" s="992" t="s">
        <v>1565</v>
      </c>
      <c r="M23" s="792"/>
      <c r="N23" s="793">
        <v>90000</v>
      </c>
      <c r="O23" s="957">
        <v>280</v>
      </c>
    </row>
    <row r="24" spans="1:15" ht="15.75" customHeight="1">
      <c r="A24" s="420"/>
      <c r="B24" s="428"/>
      <c r="D24" s="873" t="s">
        <v>1571</v>
      </c>
      <c r="E24" s="411">
        <f>+N23</f>
        <v>90000</v>
      </c>
      <c r="G24" s="415"/>
      <c r="H24" s="482"/>
      <c r="I24" s="472"/>
      <c r="K24" s="985" t="s">
        <v>1733</v>
      </c>
      <c r="L24" s="982" t="s">
        <v>1535</v>
      </c>
      <c r="M24" s="870"/>
      <c r="N24" s="986">
        <v>50000</v>
      </c>
      <c r="O24" s="957">
        <v>100</v>
      </c>
    </row>
    <row r="25" spans="1:15" ht="15.75" customHeight="1">
      <c r="A25" s="420"/>
      <c r="B25" s="902"/>
      <c r="C25" s="905" t="s">
        <v>1736</v>
      </c>
      <c r="D25" s="873" t="s">
        <v>1572</v>
      </c>
      <c r="E25" s="411">
        <f>N24*O23/O24</f>
        <v>140000</v>
      </c>
      <c r="G25" s="415"/>
      <c r="H25" s="482"/>
      <c r="I25" s="472"/>
      <c r="K25" s="985" t="s">
        <v>1425</v>
      </c>
      <c r="L25" s="982" t="s">
        <v>1536</v>
      </c>
      <c r="M25" s="870"/>
      <c r="N25" s="986">
        <v>12000</v>
      </c>
      <c r="O25" s="957">
        <v>105</v>
      </c>
    </row>
    <row r="26" spans="1:15" ht="15.75" customHeight="1">
      <c r="A26" s="420"/>
      <c r="B26" s="902">
        <f>E27+E26</f>
        <v>645139</v>
      </c>
      <c r="C26" s="905" t="s">
        <v>1738</v>
      </c>
      <c r="D26" s="994" t="s">
        <v>1573</v>
      </c>
      <c r="E26" s="411">
        <f>N25*O23/O25</f>
        <v>32000</v>
      </c>
      <c r="G26" s="415"/>
      <c r="H26" s="482"/>
      <c r="I26" s="472"/>
      <c r="K26" s="985" t="s">
        <v>1426</v>
      </c>
      <c r="L26" s="982" t="s">
        <v>1542</v>
      </c>
      <c r="M26" s="870"/>
      <c r="N26" s="986">
        <v>300000</v>
      </c>
      <c r="O26" s="957">
        <v>137</v>
      </c>
    </row>
    <row r="27" spans="1:15" ht="15.75" customHeight="1">
      <c r="A27" s="420"/>
      <c r="B27" s="428"/>
      <c r="C27" s="1052" t="s">
        <v>1737</v>
      </c>
      <c r="D27" s="994" t="s">
        <v>1573</v>
      </c>
      <c r="E27" s="1053">
        <f>ROUND(300000*280/137,0)</f>
        <v>613139</v>
      </c>
      <c r="F27" s="681">
        <f>SUM(E24:E27)</f>
        <v>875139</v>
      </c>
      <c r="G27" s="892">
        <f>F23-F27</f>
        <v>924861</v>
      </c>
      <c r="H27" s="482"/>
      <c r="I27" s="472"/>
      <c r="K27" s="987" t="s">
        <v>1734</v>
      </c>
      <c r="L27" s="983">
        <v>43723</v>
      </c>
      <c r="M27" s="998" t="s">
        <v>1740</v>
      </c>
      <c r="N27" s="988">
        <v>10000</v>
      </c>
      <c r="O27" s="957" t="s">
        <v>1739</v>
      </c>
    </row>
    <row r="28" spans="1:15" ht="21" customHeight="1" thickBot="1">
      <c r="A28" s="420"/>
      <c r="B28" s="849">
        <v>43210</v>
      </c>
      <c r="C28" s="1042" t="s">
        <v>1210</v>
      </c>
      <c r="D28" s="416" t="s">
        <v>1557</v>
      </c>
      <c r="F28" s="904">
        <f>+N30</f>
        <v>8000000</v>
      </c>
      <c r="G28" s="423"/>
      <c r="H28" s="482"/>
      <c r="I28" s="472"/>
      <c r="K28" s="989" t="s">
        <v>1741</v>
      </c>
      <c r="L28" s="1000">
        <v>43221</v>
      </c>
      <c r="M28" s="990"/>
      <c r="N28" s="991">
        <v>800000</v>
      </c>
      <c r="O28" s="957" t="s">
        <v>1742</v>
      </c>
    </row>
    <row r="29" spans="1:15" ht="21" customHeight="1" thickBot="1">
      <c r="A29" s="420"/>
      <c r="B29" s="849"/>
      <c r="C29" s="408"/>
      <c r="D29" s="873" t="s">
        <v>1571</v>
      </c>
      <c r="E29" s="904">
        <f>+N31</f>
        <v>1000</v>
      </c>
      <c r="G29" s="423"/>
      <c r="H29" s="482"/>
      <c r="I29" s="472"/>
      <c r="O29" s="957" t="s">
        <v>1735</v>
      </c>
    </row>
    <row r="30" spans="1:15" ht="15.75" customHeight="1">
      <c r="A30" s="420"/>
      <c r="B30" s="902"/>
      <c r="C30" s="905" t="s">
        <v>1746</v>
      </c>
      <c r="D30" s="873" t="s">
        <v>1572</v>
      </c>
      <c r="E30" s="1001">
        <f>N33*O30/O33</f>
        <v>2548000</v>
      </c>
      <c r="F30" s="681">
        <f>E29+E30</f>
        <v>2549000</v>
      </c>
      <c r="G30" s="423"/>
      <c r="H30" s="482"/>
      <c r="I30" s="472"/>
      <c r="K30" s="984" t="s">
        <v>1550</v>
      </c>
      <c r="L30" s="1005">
        <v>43210</v>
      </c>
      <c r="M30" s="789"/>
      <c r="N30" s="790">
        <v>8000000</v>
      </c>
      <c r="O30" s="957">
        <v>280</v>
      </c>
    </row>
    <row r="31" spans="1:15" ht="15.75" customHeight="1">
      <c r="A31" s="420"/>
      <c r="B31" s="415"/>
      <c r="D31" s="873" t="s">
        <v>1199</v>
      </c>
      <c r="E31" s="891"/>
      <c r="F31" s="416">
        <f>F28-F30</f>
        <v>5451000</v>
      </c>
      <c r="G31" s="423"/>
      <c r="H31" s="482"/>
      <c r="I31" s="472"/>
      <c r="K31" s="993" t="s">
        <v>1549</v>
      </c>
      <c r="L31" s="792"/>
      <c r="M31" s="792"/>
      <c r="N31" s="793">
        <v>1000</v>
      </c>
      <c r="O31" s="957">
        <v>280</v>
      </c>
    </row>
    <row r="32" spans="1:15" ht="18" customHeight="1">
      <c r="A32" s="420"/>
      <c r="D32" s="873" t="s">
        <v>1747</v>
      </c>
      <c r="E32" s="891"/>
      <c r="F32" s="1001"/>
      <c r="G32" s="876">
        <f>F31-F32</f>
        <v>5451000</v>
      </c>
      <c r="H32" s="482">
        <f>+G32+G27</f>
        <v>6375861</v>
      </c>
      <c r="I32" s="472"/>
      <c r="K32" s="772" t="s">
        <v>1424</v>
      </c>
      <c r="L32" s="1006" t="s">
        <v>1743</v>
      </c>
      <c r="M32" s="871"/>
      <c r="N32" s="1002">
        <v>750000</v>
      </c>
    </row>
    <row r="33" spans="1:15" ht="20.100000000000001" customHeight="1">
      <c r="A33" s="420"/>
      <c r="B33" s="421" t="s">
        <v>998</v>
      </c>
      <c r="C33" s="415"/>
      <c r="D33" s="415"/>
      <c r="E33" s="415"/>
      <c r="F33" s="415"/>
      <c r="G33" s="415"/>
      <c r="H33" s="482"/>
      <c r="I33" s="471"/>
      <c r="K33" s="993" t="s">
        <v>1569</v>
      </c>
      <c r="L33" s="792"/>
      <c r="M33" s="792"/>
      <c r="N33" s="1003">
        <v>910000</v>
      </c>
      <c r="O33" s="957">
        <v>100</v>
      </c>
    </row>
    <row r="34" spans="1:15" ht="16.5" customHeight="1" thickBot="1">
      <c r="A34" s="420"/>
      <c r="B34" s="636"/>
      <c r="C34" s="431" t="s">
        <v>1247</v>
      </c>
      <c r="D34" s="431"/>
      <c r="E34" s="431"/>
      <c r="F34" s="415"/>
      <c r="G34" s="411">
        <v>62710</v>
      </c>
      <c r="H34" s="482"/>
      <c r="I34" s="471"/>
      <c r="K34" s="1004" t="s">
        <v>1552</v>
      </c>
      <c r="L34" s="1007">
        <v>43757</v>
      </c>
      <c r="M34" s="795"/>
      <c r="N34" s="796">
        <v>1000000</v>
      </c>
      <c r="O34" s="416" t="s">
        <v>1744</v>
      </c>
    </row>
    <row r="35" spans="1:15" ht="16.5" customHeight="1">
      <c r="A35" s="420"/>
      <c r="B35" s="636" t="s">
        <v>1752</v>
      </c>
      <c r="C35" s="877" t="s">
        <v>1510</v>
      </c>
      <c r="D35" s="431"/>
      <c r="E35" s="878">
        <v>60000</v>
      </c>
      <c r="G35" s="411"/>
      <c r="H35" s="482"/>
      <c r="I35" s="471"/>
    </row>
    <row r="36" spans="1:15" ht="13.5">
      <c r="A36" s="420"/>
      <c r="B36" s="589"/>
      <c r="C36" s="431" t="s">
        <v>1553</v>
      </c>
      <c r="E36" s="859" t="s">
        <v>1554</v>
      </c>
      <c r="F36" s="408"/>
      <c r="G36" s="462">
        <v>200000</v>
      </c>
      <c r="H36" s="482"/>
      <c r="I36" s="471"/>
      <c r="K36" s="416" t="s">
        <v>1514</v>
      </c>
      <c r="L36" s="901">
        <v>43718</v>
      </c>
      <c r="M36" s="901"/>
    </row>
    <row r="37" spans="1:15" ht="17.25" customHeight="1">
      <c r="A37" s="420"/>
      <c r="B37" s="589"/>
      <c r="C37" s="431"/>
      <c r="D37" s="434"/>
      <c r="E37" s="433"/>
      <c r="F37" s="433"/>
      <c r="G37" s="480">
        <f>SUM(G34:G36)</f>
        <v>262710</v>
      </c>
      <c r="H37" s="482"/>
      <c r="I37" s="471"/>
      <c r="K37" s="416" t="s">
        <v>1575</v>
      </c>
      <c r="L37" s="901">
        <v>43769</v>
      </c>
      <c r="M37" s="901"/>
    </row>
    <row r="38" spans="1:15" ht="15" customHeight="1">
      <c r="A38" s="420"/>
      <c r="B38" s="589"/>
      <c r="C38" s="415"/>
      <c r="D38" s="415"/>
      <c r="E38" s="415"/>
      <c r="F38" s="415"/>
      <c r="G38" s="437"/>
      <c r="H38" s="482">
        <f>+G37</f>
        <v>262710</v>
      </c>
      <c r="I38" s="472"/>
      <c r="K38" s="416" t="s">
        <v>1551</v>
      </c>
      <c r="L38" s="901">
        <v>43723</v>
      </c>
      <c r="M38" s="995">
        <v>10000</v>
      </c>
      <c r="N38" s="996" t="s">
        <v>1556</v>
      </c>
    </row>
    <row r="39" spans="1:15" ht="15" customHeight="1">
      <c r="A39" s="420"/>
      <c r="B39" s="428"/>
      <c r="C39" s="435"/>
      <c r="D39" s="436"/>
      <c r="E39" s="415"/>
      <c r="F39" s="444"/>
      <c r="G39" s="437"/>
      <c r="H39" s="484"/>
      <c r="I39" s="534"/>
      <c r="K39" s="416" t="s">
        <v>1231</v>
      </c>
      <c r="L39" s="901">
        <v>43221</v>
      </c>
      <c r="M39" s="995">
        <v>800000</v>
      </c>
      <c r="N39" s="997" t="s">
        <v>1742</v>
      </c>
    </row>
    <row r="40" spans="1:15" ht="15" customHeight="1">
      <c r="A40" s="420"/>
      <c r="B40" s="421" t="s">
        <v>501</v>
      </c>
      <c r="C40" s="415"/>
      <c r="D40" s="415"/>
      <c r="E40" s="428"/>
      <c r="F40" s="428"/>
      <c r="G40" s="424"/>
      <c r="H40" s="485">
        <f>SUM(H5:H38)</f>
        <v>17837371</v>
      </c>
      <c r="I40" s="472"/>
      <c r="K40" s="416" t="s">
        <v>1552</v>
      </c>
      <c r="L40" s="901">
        <v>43757</v>
      </c>
      <c r="M40" s="690">
        <v>1000000</v>
      </c>
      <c r="N40" s="996" t="s">
        <v>1745</v>
      </c>
    </row>
    <row r="41" spans="1:15" ht="15" customHeight="1">
      <c r="A41" s="420" t="s">
        <v>1275</v>
      </c>
      <c r="B41" s="445" t="s">
        <v>999</v>
      </c>
      <c r="C41" s="415"/>
      <c r="D41" s="415"/>
      <c r="E41" s="415"/>
      <c r="F41" s="415"/>
      <c r="G41" s="415"/>
      <c r="H41" s="482"/>
      <c r="I41" s="471"/>
    </row>
    <row r="42" spans="1:15" ht="15" customHeight="1">
      <c r="A42" s="420"/>
      <c r="B42" s="446"/>
      <c r="C42" s="435" t="s">
        <v>1512</v>
      </c>
      <c r="D42" s="415"/>
      <c r="E42" s="415"/>
      <c r="F42" s="415"/>
      <c r="G42" s="423"/>
      <c r="H42" s="482"/>
      <c r="I42" s="471"/>
    </row>
    <row r="43" spans="1:15" ht="15" customHeight="1">
      <c r="A43" s="420"/>
      <c r="B43" s="446"/>
      <c r="C43" s="431"/>
      <c r="D43" s="415"/>
      <c r="E43" s="415"/>
      <c r="F43" s="411"/>
      <c r="G43" s="423"/>
      <c r="H43" s="482"/>
      <c r="I43" s="471"/>
    </row>
    <row r="44" spans="1:15" ht="12.75" customHeight="1">
      <c r="A44" s="420"/>
      <c r="B44" s="446"/>
      <c r="C44" s="431" t="s">
        <v>509</v>
      </c>
      <c r="D44" s="415"/>
      <c r="E44" s="415"/>
      <c r="F44" s="411">
        <v>140000</v>
      </c>
      <c r="G44" s="423"/>
      <c r="H44" s="482"/>
      <c r="I44" s="471"/>
    </row>
    <row r="45" spans="1:15" ht="15" customHeight="1">
      <c r="A45" s="420"/>
      <c r="B45" s="446"/>
      <c r="C45" s="431"/>
      <c r="D45" s="415"/>
      <c r="E45" s="415"/>
      <c r="F45" s="448">
        <f>SUM(F43:F44)</f>
        <v>140000</v>
      </c>
      <c r="G45" s="415">
        <f>IF(F45&gt;150000,150000,F45)</f>
        <v>140000</v>
      </c>
      <c r="H45" s="482"/>
      <c r="I45" s="471"/>
    </row>
    <row r="46" spans="1:15" ht="15" customHeight="1">
      <c r="A46" s="420"/>
      <c r="B46" s="446"/>
      <c r="C46" s="449" t="s">
        <v>1567</v>
      </c>
      <c r="D46" s="415"/>
      <c r="E46" s="415"/>
      <c r="F46" s="450"/>
      <c r="G46" s="411">
        <v>10000</v>
      </c>
      <c r="H46" s="482"/>
      <c r="I46" s="471"/>
    </row>
    <row r="47" spans="1:15" ht="15" customHeight="1">
      <c r="A47" s="420"/>
      <c r="B47" s="446"/>
      <c r="C47" s="449" t="s">
        <v>1249</v>
      </c>
      <c r="D47" s="415"/>
      <c r="E47" s="415"/>
      <c r="F47" s="415"/>
      <c r="G47" s="411">
        <v>50000</v>
      </c>
      <c r="H47" s="482"/>
      <c r="I47" s="471"/>
    </row>
    <row r="48" spans="1:15" ht="15" customHeight="1">
      <c r="A48" s="420"/>
      <c r="B48" s="446"/>
      <c r="C48" s="449" t="s">
        <v>852</v>
      </c>
      <c r="E48" s="713" t="s">
        <v>1568</v>
      </c>
      <c r="G48" s="416">
        <v>25000</v>
      </c>
      <c r="H48" s="482"/>
      <c r="I48" s="471"/>
      <c r="K48" s="713"/>
      <c r="L48" s="682"/>
    </row>
    <row r="49" spans="1:14" ht="15" customHeight="1">
      <c r="A49" s="420"/>
      <c r="B49" s="446"/>
      <c r="C49" s="449" t="s">
        <v>1216</v>
      </c>
      <c r="E49" s="416" t="s">
        <v>1555</v>
      </c>
      <c r="G49" s="416">
        <v>78000</v>
      </c>
      <c r="H49" s="482"/>
      <c r="I49" s="471"/>
    </row>
    <row r="50" spans="1:14" ht="15" customHeight="1">
      <c r="A50" s="420"/>
      <c r="B50" s="446"/>
      <c r="C50" s="449" t="s">
        <v>1428</v>
      </c>
      <c r="E50" s="416" t="s">
        <v>1436</v>
      </c>
      <c r="G50" s="416">
        <v>110000</v>
      </c>
      <c r="H50" s="482"/>
      <c r="I50" s="471"/>
    </row>
    <row r="51" spans="1:14" ht="15" customHeight="1">
      <c r="A51" s="420"/>
      <c r="B51" s="415"/>
      <c r="C51" s="449" t="s">
        <v>979</v>
      </c>
      <c r="D51" s="415"/>
      <c r="E51" s="428"/>
      <c r="F51" s="428"/>
      <c r="G51" s="447">
        <f>IF(G34&gt;10000, 10000, G34)</f>
        <v>10000</v>
      </c>
      <c r="H51" s="482"/>
      <c r="I51" s="471"/>
    </row>
    <row r="52" spans="1:14">
      <c r="A52" s="420"/>
      <c r="B52" s="415"/>
      <c r="C52" s="543" t="s">
        <v>853</v>
      </c>
      <c r="D52" s="415"/>
      <c r="E52" s="428"/>
      <c r="F52" s="428"/>
      <c r="G52" s="411"/>
      <c r="H52" s="482">
        <f>SUM(G45:G52)</f>
        <v>423000</v>
      </c>
      <c r="I52" s="472"/>
    </row>
    <row r="53" spans="1:14" ht="15.75" customHeight="1" thickBot="1">
      <c r="A53" s="420"/>
      <c r="B53" s="451" t="s">
        <v>777</v>
      </c>
      <c r="C53" s="415"/>
      <c r="D53" s="415"/>
      <c r="E53" s="452">
        <f>IF((H40-H52)&lt;0,0,(H40-H52))</f>
        <v>17414371</v>
      </c>
      <c r="F53" s="453" t="s">
        <v>779</v>
      </c>
      <c r="G53" s="440"/>
      <c r="H53" s="486">
        <f>ROUND((E53/10),0)*10</f>
        <v>17414370</v>
      </c>
      <c r="I53" s="475"/>
      <c r="K53" s="1136" t="s">
        <v>1559</v>
      </c>
      <c r="L53" s="1136"/>
    </row>
    <row r="54" spans="1:14" ht="15" customHeight="1" thickTop="1">
      <c r="A54" s="420"/>
      <c r="B54" s="450" t="s">
        <v>778</v>
      </c>
      <c r="C54" s="415"/>
      <c r="D54" s="415"/>
      <c r="E54" s="444" t="s">
        <v>521</v>
      </c>
      <c r="F54" s="454" t="s">
        <v>522</v>
      </c>
      <c r="G54" s="444" t="s">
        <v>524</v>
      </c>
      <c r="H54" s="487"/>
      <c r="I54" s="471"/>
      <c r="K54" s="416">
        <v>250000</v>
      </c>
      <c r="L54" s="868" t="s">
        <v>1374</v>
      </c>
      <c r="N54" s="416">
        <v>0</v>
      </c>
    </row>
    <row r="55" spans="1:14" ht="15" customHeight="1">
      <c r="A55" s="420"/>
      <c r="B55" s="883">
        <v>24912</v>
      </c>
      <c r="C55" s="467">
        <f>IF(B55&lt;21277,"Sr Citizen",0)</f>
        <v>0</v>
      </c>
      <c r="D55" s="653" t="s">
        <v>1562</v>
      </c>
      <c r="E55" s="455">
        <f>H53-E56</f>
        <v>11038509</v>
      </c>
      <c r="F55" s="456"/>
      <c r="G55" s="415">
        <f>IF(+C55="Sr Citizen",ROUND(IF(E55&gt;1000000,(((E55-1000000)*0.3)+110000),IF(E55&gt;500000,(((E55-500000)*0.2)+10000),IF(E55&gt;300000,((E55-300000)*0.05),0))),0),ROUND(IF(E55&gt;1000000,(((E55-1000000)*0.3)+112500),IF(E55&gt;500000,(((E55-500000)*0.2)+12500),IF(E55&gt;250000,((E55-250000)*0.05),0))),0))</f>
        <v>3124053</v>
      </c>
      <c r="H55" s="487"/>
      <c r="I55" s="471"/>
      <c r="K55" s="416">
        <v>250000</v>
      </c>
      <c r="L55" s="821">
        <v>0.05</v>
      </c>
      <c r="M55" s="415"/>
      <c r="N55" s="416">
        <v>12500</v>
      </c>
    </row>
    <row r="56" spans="1:14" ht="15" customHeight="1">
      <c r="A56" s="420"/>
      <c r="C56" s="524"/>
      <c r="D56" s="653" t="s">
        <v>1563</v>
      </c>
      <c r="E56" s="753">
        <f>+H32</f>
        <v>6375861</v>
      </c>
      <c r="F56" s="880">
        <v>0.2</v>
      </c>
      <c r="G56" s="527">
        <f>ROUND(E56*F56,0)</f>
        <v>1275172</v>
      </c>
      <c r="H56" s="489">
        <f>+G55+G56</f>
        <v>4399225</v>
      </c>
      <c r="I56" s="472"/>
      <c r="K56" s="416">
        <v>500000</v>
      </c>
      <c r="L56" s="821">
        <v>0.2</v>
      </c>
      <c r="N56" s="416">
        <v>100000</v>
      </c>
    </row>
    <row r="57" spans="1:14" ht="15" customHeight="1">
      <c r="A57" s="420"/>
      <c r="B57" s="601" t="s">
        <v>1564</v>
      </c>
      <c r="C57" s="524"/>
      <c r="D57" s="678"/>
      <c r="E57" s="753"/>
      <c r="G57" s="526"/>
      <c r="H57" s="696">
        <f>IF(H53&gt;10000000,H56*15%,IF(H53&gt;5000000,H56*10%,0))</f>
        <v>659883.75</v>
      </c>
      <c r="I57" s="472"/>
      <c r="K57" s="685">
        <f>E55-1000000</f>
        <v>10038509</v>
      </c>
      <c r="L57" s="821">
        <v>0.3</v>
      </c>
      <c r="N57" s="416">
        <f>K57*L57</f>
        <v>3011552.6999999997</v>
      </c>
    </row>
    <row r="58" spans="1:14" ht="15" customHeight="1">
      <c r="A58" s="420"/>
      <c r="C58" s="524"/>
      <c r="D58" s="415"/>
      <c r="E58" s="753"/>
      <c r="F58" s="754"/>
      <c r="G58" s="526"/>
      <c r="H58" s="489">
        <f>H56+H57</f>
        <v>5059108.75</v>
      </c>
      <c r="I58" s="472"/>
      <c r="N58" s="718">
        <f>SUM(N54:N57)</f>
        <v>3124052.6999999997</v>
      </c>
    </row>
    <row r="59" spans="1:14" ht="15" customHeight="1">
      <c r="A59" s="420"/>
      <c r="B59" s="416" t="s">
        <v>1707</v>
      </c>
      <c r="C59" s="415"/>
      <c r="D59" s="456"/>
      <c r="E59" s="458"/>
      <c r="F59" s="415"/>
      <c r="G59" s="428"/>
      <c r="H59" s="528">
        <f>ROUND((H58)*0.04,0)</f>
        <v>202364</v>
      </c>
      <c r="I59" s="474"/>
    </row>
    <row r="60" spans="1:14" ht="15" customHeight="1">
      <c r="A60" s="420"/>
      <c r="B60" s="450" t="s">
        <v>565</v>
      </c>
      <c r="C60" s="415"/>
      <c r="D60" s="456"/>
      <c r="E60" s="458"/>
      <c r="F60" s="415"/>
      <c r="G60" s="428"/>
      <c r="H60" s="488">
        <f>SUM(H58:H59)</f>
        <v>5261472.75</v>
      </c>
      <c r="I60" s="472"/>
    </row>
    <row r="61" spans="1:14" ht="15" customHeight="1">
      <c r="A61" s="420"/>
      <c r="B61" s="416" t="s">
        <v>1731</v>
      </c>
      <c r="C61" s="415"/>
      <c r="D61" s="456"/>
      <c r="E61" s="458"/>
      <c r="F61" s="415"/>
      <c r="G61" s="428"/>
      <c r="H61" s="696"/>
      <c r="I61" s="473"/>
    </row>
    <row r="62" spans="1:14" ht="15" customHeight="1">
      <c r="A62" s="420"/>
      <c r="B62" s="450"/>
      <c r="C62" s="415"/>
      <c r="D62" s="456"/>
      <c r="E62" s="458"/>
      <c r="F62" s="415"/>
      <c r="G62" s="428"/>
      <c r="H62" s="488">
        <f>H60+H61</f>
        <v>5261472.75</v>
      </c>
      <c r="I62" s="472"/>
    </row>
    <row r="63" spans="1:14" ht="15" customHeight="1">
      <c r="A63" s="420"/>
      <c r="B63" s="421" t="s">
        <v>571</v>
      </c>
      <c r="C63" s="428"/>
      <c r="D63" s="456"/>
      <c r="E63" s="428"/>
      <c r="F63" s="428"/>
      <c r="G63" s="428"/>
      <c r="H63" s="490"/>
      <c r="I63" s="471"/>
    </row>
    <row r="64" spans="1:14" ht="15" customHeight="1">
      <c r="A64" s="420"/>
      <c r="B64" s="667"/>
      <c r="C64" s="1115" t="s">
        <v>1430</v>
      </c>
      <c r="D64" s="1115"/>
      <c r="E64" s="705">
        <v>43359</v>
      </c>
      <c r="F64" s="1048"/>
      <c r="G64" s="447">
        <v>85000</v>
      </c>
      <c r="H64" s="482"/>
      <c r="I64" s="472"/>
    </row>
    <row r="65" spans="1:10" ht="15" customHeight="1">
      <c r="A65" s="420"/>
      <c r="B65" s="588"/>
      <c r="C65" s="1048" t="s">
        <v>1429</v>
      </c>
      <c r="D65" s="1048"/>
      <c r="E65" s="1048"/>
      <c r="F65" s="1048"/>
      <c r="G65" s="410">
        <v>90000</v>
      </c>
      <c r="H65" s="482"/>
      <c r="I65" s="472"/>
    </row>
    <row r="66" spans="1:10" ht="15" customHeight="1">
      <c r="A66" s="420"/>
      <c r="B66" s="588"/>
      <c r="C66" s="1115" t="s">
        <v>1430</v>
      </c>
      <c r="D66" s="1115"/>
      <c r="E66" s="705">
        <v>43555</v>
      </c>
      <c r="F66" s="1048"/>
      <c r="G66" s="410">
        <v>120000</v>
      </c>
      <c r="H66" s="482"/>
      <c r="I66" s="472"/>
    </row>
    <row r="67" spans="1:10" ht="12.75" customHeight="1" thickBot="1">
      <c r="A67" s="414"/>
      <c r="B67" s="477"/>
      <c r="C67" s="1049"/>
      <c r="D67" s="1049"/>
      <c r="E67" s="709"/>
      <c r="F67" s="1049"/>
      <c r="G67" s="481"/>
      <c r="H67" s="493">
        <f>SUM(G64:G67)</f>
        <v>295000</v>
      </c>
      <c r="I67" s="478"/>
    </row>
    <row r="68" spans="1:10" ht="18" customHeight="1" thickBot="1">
      <c r="A68" s="494"/>
      <c r="B68" s="710" t="str">
        <f>IF(H68=0,"TAX  PAYABLE / REFUND ",IF(H68&lt;0,"REFUND","TAX  PAYABLE"))</f>
        <v>TAX  PAYABLE</v>
      </c>
      <c r="C68" s="706"/>
      <c r="D68" s="1049"/>
      <c r="E68" s="707"/>
      <c r="F68" s="708" t="s">
        <v>776</v>
      </c>
      <c r="G68" s="497"/>
      <c r="H68" s="499">
        <f>H62-H67</f>
        <v>4966472.75</v>
      </c>
      <c r="I68" s="500"/>
    </row>
    <row r="69" spans="1:10" ht="18" customHeight="1">
      <c r="A69" s="808"/>
      <c r="B69" s="899"/>
      <c r="C69" s="809"/>
      <c r="D69" s="752"/>
      <c r="E69" s="428"/>
      <c r="G69" s="894" t="s">
        <v>1578</v>
      </c>
      <c r="H69" s="811" t="s">
        <v>1586</v>
      </c>
      <c r="I69" s="810"/>
    </row>
    <row r="70" spans="1:10">
      <c r="A70" s="1137">
        <f ca="1">TODAY()</f>
        <v>44231</v>
      </c>
      <c r="B70" s="1137"/>
      <c r="E70" s="554"/>
      <c r="F70" s="554"/>
      <c r="G70" s="554"/>
      <c r="H70" s="864" t="s">
        <v>1517</v>
      </c>
      <c r="J70" s="554"/>
    </row>
    <row r="71" spans="1:10">
      <c r="A71" s="1050"/>
      <c r="B71" s="1050"/>
      <c r="E71" s="554"/>
      <c r="F71" s="554"/>
      <c r="G71" s="554"/>
      <c r="H71" s="864"/>
      <c r="J71" s="554"/>
    </row>
    <row r="72" spans="1:10" ht="13.5" customHeight="1">
      <c r="B72" s="1047" t="s">
        <v>1718</v>
      </c>
      <c r="C72" s="1047"/>
      <c r="D72" s="1047" t="s">
        <v>1776</v>
      </c>
    </row>
    <row r="73" spans="1:10">
      <c r="B73" s="416" t="s">
        <v>1720</v>
      </c>
      <c r="D73" s="416" t="s">
        <v>1775</v>
      </c>
    </row>
    <row r="74" spans="1:10">
      <c r="B74" s="713" t="s">
        <v>1725</v>
      </c>
      <c r="C74" s="713"/>
      <c r="D74" s="713" t="s">
        <v>1751</v>
      </c>
    </row>
    <row r="75" spans="1:10">
      <c r="B75" s="847" t="s">
        <v>1719</v>
      </c>
      <c r="C75" s="847"/>
      <c r="D75" s="847" t="s">
        <v>1778</v>
      </c>
    </row>
    <row r="76" spans="1:10" s="713" customFormat="1" ht="13.5" thickBot="1">
      <c r="A76" s="980"/>
      <c r="B76" s="416" t="s">
        <v>1727</v>
      </c>
      <c r="C76" s="416"/>
      <c r="D76" s="416" t="s">
        <v>1726</v>
      </c>
      <c r="I76" s="981"/>
    </row>
    <row r="77" spans="1:10" ht="13.5">
      <c r="E77" s="884" t="s">
        <v>1534</v>
      </c>
      <c r="F77" s="885" t="s">
        <v>1566</v>
      </c>
    </row>
    <row r="78" spans="1:10">
      <c r="E78" s="886" t="s">
        <v>1535</v>
      </c>
      <c r="F78" s="887">
        <v>100</v>
      </c>
    </row>
    <row r="79" spans="1:10">
      <c r="E79" s="886" t="s">
        <v>1536</v>
      </c>
      <c r="F79" s="887">
        <v>105</v>
      </c>
    </row>
    <row r="80" spans="1:10">
      <c r="E80" s="886" t="s">
        <v>1537</v>
      </c>
      <c r="F80" s="887">
        <v>109</v>
      </c>
    </row>
    <row r="81" spans="5:6">
      <c r="E81" s="886" t="s">
        <v>1538</v>
      </c>
      <c r="F81" s="887">
        <v>113</v>
      </c>
    </row>
    <row r="82" spans="5:6">
      <c r="E82" s="886" t="s">
        <v>1539</v>
      </c>
      <c r="F82" s="887">
        <v>117</v>
      </c>
    </row>
    <row r="83" spans="5:6">
      <c r="E83" s="886" t="s">
        <v>1540</v>
      </c>
      <c r="F83" s="887">
        <v>122</v>
      </c>
    </row>
    <row r="84" spans="5:6">
      <c r="E84" s="886" t="s">
        <v>1541</v>
      </c>
      <c r="F84" s="887">
        <v>129</v>
      </c>
    </row>
    <row r="85" spans="5:6">
      <c r="E85" s="886" t="s">
        <v>1542</v>
      </c>
      <c r="F85" s="887">
        <v>137</v>
      </c>
    </row>
    <row r="86" spans="5:6">
      <c r="E86" s="886" t="s">
        <v>1543</v>
      </c>
      <c r="F86" s="887">
        <v>148</v>
      </c>
    </row>
    <row r="87" spans="5:6">
      <c r="E87" s="886" t="s">
        <v>1544</v>
      </c>
      <c r="F87" s="887">
        <v>167</v>
      </c>
    </row>
    <row r="88" spans="5:6">
      <c r="E88" s="886" t="s">
        <v>1545</v>
      </c>
      <c r="F88" s="887">
        <v>184</v>
      </c>
    </row>
    <row r="89" spans="5:6">
      <c r="E89" s="886" t="s">
        <v>1546</v>
      </c>
      <c r="F89" s="887">
        <v>200</v>
      </c>
    </row>
    <row r="90" spans="5:6">
      <c r="E90" s="886" t="s">
        <v>1547</v>
      </c>
      <c r="F90" s="887">
        <v>220</v>
      </c>
    </row>
    <row r="91" spans="5:6">
      <c r="E91" s="886" t="s">
        <v>1427</v>
      </c>
      <c r="F91" s="887">
        <v>240</v>
      </c>
    </row>
    <row r="92" spans="5:6">
      <c r="E92" s="886" t="s">
        <v>1423</v>
      </c>
      <c r="F92" s="887">
        <v>254</v>
      </c>
    </row>
    <row r="93" spans="5:6">
      <c r="E93" s="886" t="s">
        <v>1070</v>
      </c>
      <c r="F93" s="887">
        <v>264</v>
      </c>
    </row>
    <row r="94" spans="5:6">
      <c r="E94" s="886" t="s">
        <v>1548</v>
      </c>
      <c r="F94" s="887">
        <v>272</v>
      </c>
    </row>
    <row r="95" spans="5:6" ht="13.5" thickBot="1">
      <c r="E95" s="888" t="s">
        <v>1565</v>
      </c>
      <c r="F95" s="889">
        <v>280</v>
      </c>
    </row>
  </sheetData>
  <mergeCells count="8">
    <mergeCell ref="K53:L53"/>
    <mergeCell ref="C64:D64"/>
    <mergeCell ref="C66:D66"/>
    <mergeCell ref="A70:B70"/>
    <mergeCell ref="A1:C1"/>
    <mergeCell ref="D1:I1"/>
    <mergeCell ref="A2:C2"/>
    <mergeCell ref="D2:I2"/>
  </mergeCells>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scale="76" orientation="portrait" r:id="rId1"/>
  <headerFooter alignWithMargins="0"/>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9"/>
  <sheetViews>
    <sheetView tabSelected="1" zoomScale="120" zoomScaleNormal="120" workbookViewId="0">
      <selection activeCell="C2" sqref="C2"/>
    </sheetView>
  </sheetViews>
  <sheetFormatPr defaultColWidth="9.140625" defaultRowHeight="24.95" customHeight="1"/>
  <cols>
    <col min="1" max="1" width="10.140625" style="1028" customWidth="1"/>
    <col min="2" max="2" width="37.85546875" style="1008" customWidth="1"/>
    <col min="3" max="3" width="16" style="1008" customWidth="1"/>
    <col min="4" max="4" width="11.140625" style="1028" customWidth="1"/>
    <col min="5" max="5" width="36" style="1008" customWidth="1"/>
    <col min="6" max="6" width="20.85546875" style="1008" customWidth="1"/>
    <col min="7" max="7" width="11.28515625" style="1008" customWidth="1"/>
    <col min="8" max="8" width="10" style="1008" customWidth="1"/>
    <col min="9" max="16384" width="9.140625" style="1008"/>
  </cols>
  <sheetData>
    <row r="1" spans="1:7" ht="23.1" customHeight="1">
      <c r="A1" s="1140" t="s">
        <v>1823</v>
      </c>
      <c r="B1" s="1140"/>
      <c r="C1" s="1140"/>
      <c r="D1" s="1140"/>
      <c r="E1" s="1140"/>
      <c r="F1" s="1140"/>
    </row>
    <row r="2" spans="1:7" ht="20.100000000000001" customHeight="1">
      <c r="A2" s="1009" t="s">
        <v>1755</v>
      </c>
      <c r="B2" s="1010" t="s">
        <v>1503</v>
      </c>
      <c r="C2" s="1011">
        <v>147000</v>
      </c>
      <c r="D2" s="1009" t="s">
        <v>1759</v>
      </c>
      <c r="E2" s="1012" t="s">
        <v>1442</v>
      </c>
      <c r="F2" s="1013">
        <v>20000</v>
      </c>
    </row>
    <row r="3" spans="1:7" ht="20.100000000000001" customHeight="1">
      <c r="A3" s="1009" t="s">
        <v>1756</v>
      </c>
      <c r="B3" s="1010" t="s">
        <v>1376</v>
      </c>
      <c r="C3" s="1011">
        <v>21590810</v>
      </c>
      <c r="D3" s="1009">
        <v>3</v>
      </c>
      <c r="E3" s="1014" t="s">
        <v>1774</v>
      </c>
      <c r="F3" s="1094">
        <f>C6-F2</f>
        <v>22140810</v>
      </c>
      <c r="G3" s="1043"/>
    </row>
    <row r="4" spans="1:7" ht="20.100000000000001" customHeight="1">
      <c r="A4" s="1009" t="s">
        <v>1757</v>
      </c>
      <c r="B4" s="1010" t="s">
        <v>114</v>
      </c>
      <c r="C4" s="1011">
        <v>48000</v>
      </c>
      <c r="D4" s="1009"/>
      <c r="E4" s="1010"/>
      <c r="F4" s="1011"/>
    </row>
    <row r="5" spans="1:7" ht="20.100000000000001" customHeight="1">
      <c r="A5" s="1009" t="s">
        <v>1758</v>
      </c>
      <c r="B5" s="1010" t="s">
        <v>116</v>
      </c>
      <c r="C5" s="1011">
        <v>375000</v>
      </c>
      <c r="D5" s="1009"/>
      <c r="E5" s="1010"/>
      <c r="F5" s="1010"/>
    </row>
    <row r="6" spans="1:7" ht="20.100000000000001" customHeight="1" thickBot="1">
      <c r="A6" s="1074"/>
      <c r="B6" s="1075"/>
      <c r="C6" s="1076">
        <f>SUM(C2:C5)</f>
        <v>22160810</v>
      </c>
      <c r="D6" s="1074"/>
      <c r="E6" s="1076"/>
      <c r="F6" s="1077">
        <f>+C6</f>
        <v>22160810</v>
      </c>
    </row>
    <row r="7" spans="1:7" ht="20.100000000000001" customHeight="1" thickTop="1">
      <c r="A7" s="1017">
        <v>11</v>
      </c>
      <c r="B7" s="1014" t="s">
        <v>1774</v>
      </c>
      <c r="C7" s="1018">
        <f>+F3</f>
        <v>22140810</v>
      </c>
      <c r="D7" s="1009" t="s">
        <v>1762</v>
      </c>
      <c r="E7" s="1010" t="s">
        <v>1594</v>
      </c>
      <c r="F7" s="1011">
        <v>47000000</v>
      </c>
    </row>
    <row r="8" spans="1:7" ht="30" customHeight="1">
      <c r="A8" s="1095">
        <v>7</v>
      </c>
      <c r="B8" s="1096" t="s">
        <v>1519</v>
      </c>
      <c r="C8" s="1097">
        <v>1215000</v>
      </c>
      <c r="D8" s="1098" t="s">
        <v>1761</v>
      </c>
      <c r="E8" s="1099" t="s">
        <v>1375</v>
      </c>
      <c r="F8" s="1100">
        <v>3638000</v>
      </c>
    </row>
    <row r="9" spans="1:7" ht="20.100000000000001" customHeight="1">
      <c r="A9" s="1009" t="s">
        <v>1763</v>
      </c>
      <c r="B9" s="1012" t="s">
        <v>1379</v>
      </c>
      <c r="C9" s="1013">
        <v>1435000</v>
      </c>
      <c r="D9" s="1009" t="s">
        <v>1760</v>
      </c>
      <c r="E9" s="1010" t="s">
        <v>1377</v>
      </c>
      <c r="F9" s="1011">
        <v>2390000</v>
      </c>
    </row>
    <row r="10" spans="1:7" ht="20.100000000000001" customHeight="1">
      <c r="A10" s="1009" t="s">
        <v>1764</v>
      </c>
      <c r="B10" s="1010" t="s">
        <v>1378</v>
      </c>
      <c r="C10" s="1011">
        <v>1715000</v>
      </c>
      <c r="D10" s="1009">
        <v>5</v>
      </c>
      <c r="E10" s="1010" t="s">
        <v>1443</v>
      </c>
      <c r="F10" s="1011">
        <v>1012000</v>
      </c>
    </row>
    <row r="11" spans="1:7" ht="21.75" customHeight="1">
      <c r="A11" s="1009">
        <v>12</v>
      </c>
      <c r="B11" s="1019" t="s">
        <v>1773</v>
      </c>
      <c r="C11" s="1094">
        <f>C12-SUM(C7:C10)</f>
        <v>27534190</v>
      </c>
      <c r="D11" s="1009"/>
      <c r="E11" s="1010"/>
      <c r="F11" s="1010"/>
    </row>
    <row r="12" spans="1:7" ht="20.100000000000001" customHeight="1" thickBot="1">
      <c r="A12" s="1071"/>
      <c r="B12" s="1072"/>
      <c r="C12" s="1073">
        <f>+F12</f>
        <v>54040000</v>
      </c>
      <c r="D12" s="1071"/>
      <c r="E12" s="1072"/>
      <c r="F12" s="1072">
        <f>SUM(F7:F11)</f>
        <v>54040000</v>
      </c>
    </row>
    <row r="13" spans="1:7" ht="20.100000000000001" customHeight="1" thickTop="1">
      <c r="A13" s="1017">
        <v>19</v>
      </c>
      <c r="B13" s="1012" t="s">
        <v>1380</v>
      </c>
      <c r="C13" s="1013">
        <v>90000</v>
      </c>
      <c r="D13" s="1017">
        <v>13</v>
      </c>
      <c r="E13" s="1019" t="s">
        <v>1773</v>
      </c>
      <c r="F13" s="1021">
        <f>+C11</f>
        <v>27534190</v>
      </c>
    </row>
    <row r="14" spans="1:7" ht="20.100000000000001" customHeight="1">
      <c r="A14" s="1009">
        <v>20</v>
      </c>
      <c r="B14" s="1010" t="s">
        <v>1520</v>
      </c>
      <c r="C14" s="1011">
        <v>15000</v>
      </c>
      <c r="D14" s="1009"/>
      <c r="E14" s="1010"/>
      <c r="F14" s="1010"/>
    </row>
    <row r="15" spans="1:7" ht="20.100000000000001" customHeight="1">
      <c r="A15" s="1009">
        <v>21</v>
      </c>
      <c r="B15" s="1010" t="s">
        <v>1521</v>
      </c>
      <c r="C15" s="1011">
        <v>80000</v>
      </c>
      <c r="D15" s="1009"/>
      <c r="E15" s="1010"/>
      <c r="F15" s="1010"/>
    </row>
    <row r="16" spans="1:7" ht="20.100000000000001" customHeight="1">
      <c r="A16" s="1009" t="s">
        <v>1765</v>
      </c>
      <c r="B16" s="1010" t="s">
        <v>1522</v>
      </c>
      <c r="C16" s="1011">
        <v>9842590</v>
      </c>
      <c r="D16" s="1009"/>
      <c r="E16" s="1010"/>
      <c r="F16" s="1010"/>
    </row>
    <row r="17" spans="1:6" ht="20.100000000000001" customHeight="1">
      <c r="A17" s="1009" t="s">
        <v>1766</v>
      </c>
      <c r="B17" s="1010" t="s">
        <v>1381</v>
      </c>
      <c r="C17" s="1011">
        <v>41000</v>
      </c>
      <c r="D17" s="1009"/>
      <c r="E17" s="1010"/>
      <c r="F17" s="1010"/>
    </row>
    <row r="18" spans="1:6" ht="20.100000000000001" customHeight="1">
      <c r="A18" s="1009">
        <v>24</v>
      </c>
      <c r="B18" s="1010" t="s">
        <v>1523</v>
      </c>
      <c r="C18" s="1011">
        <v>72000</v>
      </c>
      <c r="D18" s="1009"/>
      <c r="E18" s="1010"/>
      <c r="F18" s="1010"/>
    </row>
    <row r="19" spans="1:6" ht="20.100000000000001" customHeight="1">
      <c r="A19" s="1009">
        <v>25</v>
      </c>
      <c r="B19" s="1010" t="s">
        <v>175</v>
      </c>
      <c r="C19" s="1011">
        <v>10000</v>
      </c>
      <c r="D19" s="1009"/>
      <c r="E19" s="1010"/>
      <c r="F19" s="1010"/>
    </row>
    <row r="20" spans="1:6" ht="20.100000000000001" customHeight="1">
      <c r="A20" s="1009">
        <v>26</v>
      </c>
      <c r="B20" s="1010" t="s">
        <v>176</v>
      </c>
      <c r="C20" s="1011">
        <v>18000</v>
      </c>
      <c r="D20" s="1009"/>
      <c r="E20" s="1010"/>
      <c r="F20" s="1010"/>
    </row>
    <row r="21" spans="1:6" ht="20.100000000000001" customHeight="1">
      <c r="A21" s="1009">
        <v>27</v>
      </c>
      <c r="B21" s="1010" t="s">
        <v>1504</v>
      </c>
      <c r="C21" s="1011">
        <v>267000</v>
      </c>
      <c r="D21" s="1009"/>
      <c r="E21" s="1010"/>
      <c r="F21" s="1010"/>
    </row>
    <row r="22" spans="1:6" ht="20.100000000000001" customHeight="1">
      <c r="A22" s="1009">
        <v>28</v>
      </c>
      <c r="B22" s="1010" t="s">
        <v>1524</v>
      </c>
      <c r="C22" s="1011">
        <v>850000</v>
      </c>
      <c r="D22" s="1009"/>
      <c r="E22" s="1010"/>
      <c r="F22" s="1010"/>
    </row>
    <row r="23" spans="1:6" ht="20.100000000000001" customHeight="1">
      <c r="A23" s="1009">
        <v>29</v>
      </c>
      <c r="B23" s="1010" t="s">
        <v>1525</v>
      </c>
      <c r="C23" s="1011">
        <v>1210800</v>
      </c>
      <c r="D23" s="1009"/>
      <c r="E23" s="1010"/>
      <c r="F23" s="1010"/>
    </row>
    <row r="24" spans="1:6" ht="20.100000000000001" customHeight="1">
      <c r="A24" s="1009" t="s">
        <v>1767</v>
      </c>
      <c r="B24" s="1010" t="s">
        <v>47</v>
      </c>
      <c r="C24" s="1011">
        <v>82000</v>
      </c>
      <c r="D24" s="1009"/>
      <c r="E24" s="1010"/>
      <c r="F24" s="1010"/>
    </row>
    <row r="25" spans="1:6" ht="20.100000000000001" customHeight="1">
      <c r="A25" s="1009" t="s">
        <v>1768</v>
      </c>
      <c r="B25" s="1010" t="s">
        <v>1526</v>
      </c>
      <c r="C25" s="1011">
        <v>100000</v>
      </c>
      <c r="D25" s="1009"/>
      <c r="E25" s="1010"/>
      <c r="F25" s="1010"/>
    </row>
    <row r="26" spans="1:6" ht="20.100000000000001" customHeight="1">
      <c r="A26" s="1009">
        <v>33</v>
      </c>
      <c r="B26" s="1010" t="s">
        <v>1382</v>
      </c>
      <c r="C26" s="1011">
        <v>40000</v>
      </c>
      <c r="D26" s="1009"/>
      <c r="E26" s="1010"/>
      <c r="F26" s="1010"/>
    </row>
    <row r="27" spans="1:6" ht="20.100000000000001" customHeight="1">
      <c r="A27" s="1009">
        <v>35</v>
      </c>
      <c r="B27" s="1010" t="s">
        <v>1527</v>
      </c>
      <c r="C27" s="1011">
        <v>1120000</v>
      </c>
      <c r="D27" s="1009"/>
      <c r="E27" s="1010"/>
      <c r="F27" s="1010"/>
    </row>
    <row r="28" spans="1:6" ht="20.100000000000001" customHeight="1">
      <c r="A28" s="1009">
        <v>34</v>
      </c>
      <c r="B28" s="1010" t="s">
        <v>1528</v>
      </c>
      <c r="C28" s="1011">
        <v>80000</v>
      </c>
      <c r="D28" s="1009"/>
      <c r="E28" s="1010"/>
      <c r="F28" s="1010"/>
    </row>
    <row r="29" spans="1:6" ht="20.100000000000001" customHeight="1">
      <c r="A29" s="1009">
        <v>36</v>
      </c>
      <c r="B29" s="1010" t="s">
        <v>1529</v>
      </c>
      <c r="C29" s="1011">
        <v>18000</v>
      </c>
      <c r="D29" s="1009"/>
      <c r="E29" s="1010"/>
      <c r="F29" s="1010"/>
    </row>
    <row r="30" spans="1:6" ht="20.100000000000001" customHeight="1">
      <c r="A30" s="1009">
        <v>37</v>
      </c>
      <c r="B30" s="1010" t="s">
        <v>1530</v>
      </c>
      <c r="C30" s="1011">
        <v>677000</v>
      </c>
      <c r="D30" s="1009"/>
      <c r="E30" s="1010"/>
      <c r="F30" s="1010"/>
    </row>
    <row r="31" spans="1:6" ht="20.100000000000001" customHeight="1">
      <c r="A31" s="1009">
        <v>40</v>
      </c>
      <c r="B31" s="1010" t="s">
        <v>1383</v>
      </c>
      <c r="C31" s="1011">
        <v>21000</v>
      </c>
      <c r="D31" s="1009"/>
      <c r="E31" s="1010"/>
      <c r="F31" s="1010"/>
    </row>
    <row r="32" spans="1:6" ht="20.100000000000001" customHeight="1">
      <c r="A32" s="1009">
        <v>42</v>
      </c>
      <c r="B32" s="1010" t="s">
        <v>1532</v>
      </c>
      <c r="C32" s="1011">
        <v>200000</v>
      </c>
      <c r="D32" s="1009"/>
      <c r="E32" s="1010"/>
      <c r="F32" s="1010"/>
    </row>
    <row r="33" spans="1:8" ht="20.100000000000001" customHeight="1">
      <c r="A33" s="1009" t="s">
        <v>1769</v>
      </c>
      <c r="B33" s="1010" t="s">
        <v>1531</v>
      </c>
      <c r="C33" s="1011">
        <v>390000</v>
      </c>
      <c r="D33" s="1009"/>
      <c r="E33" s="1010"/>
      <c r="F33" s="1010"/>
    </row>
    <row r="34" spans="1:8" ht="20.100000000000001" customHeight="1">
      <c r="A34" s="1009">
        <v>45</v>
      </c>
      <c r="B34" s="1010" t="s">
        <v>1384</v>
      </c>
      <c r="C34" s="1011">
        <v>200000</v>
      </c>
      <c r="D34" s="1009"/>
      <c r="E34" s="1010"/>
      <c r="F34" s="1010"/>
    </row>
    <row r="35" spans="1:8" ht="20.100000000000001" customHeight="1">
      <c r="A35" s="1009">
        <v>52</v>
      </c>
      <c r="B35" s="1010" t="s">
        <v>825</v>
      </c>
      <c r="C35" s="1011">
        <v>520000</v>
      </c>
      <c r="D35" s="1009"/>
      <c r="E35" s="1010"/>
      <c r="F35" s="1010"/>
    </row>
    <row r="36" spans="1:8" ht="20.100000000000001" customHeight="1">
      <c r="A36" s="1009" t="s">
        <v>1770</v>
      </c>
      <c r="B36" s="1010" t="s">
        <v>301</v>
      </c>
      <c r="C36" s="1011">
        <v>1000000</v>
      </c>
      <c r="D36" s="1009"/>
      <c r="E36" s="1010"/>
      <c r="F36" s="1010"/>
    </row>
    <row r="37" spans="1:8" ht="20.100000000000001" customHeight="1">
      <c r="A37" s="1009">
        <v>53</v>
      </c>
      <c r="B37" s="1010" t="s">
        <v>1772</v>
      </c>
      <c r="C37" s="1094">
        <f>C38-SUM(C13:C36)</f>
        <v>10589800</v>
      </c>
      <c r="D37" s="1022"/>
      <c r="E37" s="1023"/>
      <c r="F37" s="1010"/>
    </row>
    <row r="38" spans="1:8" ht="20.100000000000001" customHeight="1" thickBot="1">
      <c r="A38" s="1070"/>
      <c r="B38" s="1020"/>
      <c r="C38" s="1069">
        <f>+F38</f>
        <v>27534190</v>
      </c>
      <c r="D38" s="1070"/>
      <c r="E38" s="1020"/>
      <c r="F38" s="1069">
        <f>SUM(F13:F37)</f>
        <v>27534190</v>
      </c>
    </row>
    <row r="39" spans="1:8" ht="20.100000000000001" customHeight="1" thickTop="1">
      <c r="A39" s="1141" t="s">
        <v>1416</v>
      </c>
      <c r="B39" s="1141"/>
      <c r="C39" s="1141"/>
      <c r="D39" s="1141"/>
      <c r="E39" s="1141"/>
      <c r="F39" s="1141"/>
    </row>
    <row r="40" spans="1:8" ht="20.100000000000001" customHeight="1">
      <c r="A40" s="1009" t="s">
        <v>1385</v>
      </c>
      <c r="B40" s="1010" t="s">
        <v>1590</v>
      </c>
      <c r="C40" s="1011">
        <v>170905090</v>
      </c>
      <c r="D40" s="1009" t="s">
        <v>1754</v>
      </c>
      <c r="E40" s="1010" t="s">
        <v>1729</v>
      </c>
      <c r="F40" s="1011">
        <v>20000</v>
      </c>
    </row>
    <row r="41" spans="1:8" ht="20.100000000000001" customHeight="1">
      <c r="A41" s="1009" t="s">
        <v>1387</v>
      </c>
      <c r="B41" s="1010" t="s">
        <v>9</v>
      </c>
      <c r="C41" s="1011">
        <v>6216410</v>
      </c>
      <c r="D41" s="1009" t="s">
        <v>1386</v>
      </c>
      <c r="E41" s="1010" t="s">
        <v>1730</v>
      </c>
      <c r="F41" s="1011">
        <v>1012000</v>
      </c>
    </row>
    <row r="42" spans="1:8" ht="20.100000000000001" customHeight="1">
      <c r="A42" s="1008"/>
      <c r="B42" s="1010"/>
      <c r="D42" s="1009" t="s">
        <v>1388</v>
      </c>
      <c r="E42" s="1010" t="s">
        <v>970</v>
      </c>
      <c r="F42" s="1011">
        <v>8744960</v>
      </c>
      <c r="G42" s="1024" t="s">
        <v>1167</v>
      </c>
      <c r="H42" s="1024" t="s">
        <v>1643</v>
      </c>
    </row>
    <row r="43" spans="1:8" ht="20.100000000000001" customHeight="1">
      <c r="A43" s="1009"/>
      <c r="B43" s="1010"/>
      <c r="C43" s="1011"/>
      <c r="D43" s="1009" t="s">
        <v>1753</v>
      </c>
      <c r="E43" s="1010" t="s">
        <v>1593</v>
      </c>
      <c r="F43" s="1011">
        <v>5987000</v>
      </c>
      <c r="G43" s="1025">
        <f>H43+F43</f>
        <v>6507000</v>
      </c>
      <c r="H43" s="1025">
        <f>+C35</f>
        <v>520000</v>
      </c>
    </row>
    <row r="44" spans="1:8" ht="20.100000000000001" customHeight="1">
      <c r="A44" s="1009"/>
      <c r="B44" s="1010"/>
      <c r="C44" s="1011"/>
      <c r="D44" s="1009" t="s">
        <v>1389</v>
      </c>
      <c r="E44" s="1010" t="s">
        <v>1390</v>
      </c>
      <c r="F44" s="1011">
        <v>101500000</v>
      </c>
    </row>
    <row r="45" spans="1:8" ht="20.100000000000001" customHeight="1">
      <c r="A45" s="1009"/>
      <c r="B45" s="1010"/>
      <c r="C45" s="1011"/>
      <c r="D45" s="1009" t="s">
        <v>1391</v>
      </c>
      <c r="E45" s="1010" t="s">
        <v>1771</v>
      </c>
      <c r="F45" s="1011">
        <v>58089540</v>
      </c>
    </row>
    <row r="46" spans="1:8" ht="20.100000000000001" customHeight="1">
      <c r="A46" s="1009"/>
      <c r="B46" s="1010"/>
      <c r="C46" s="1011"/>
      <c r="D46" s="1009" t="s">
        <v>1392</v>
      </c>
      <c r="E46" s="1010" t="s">
        <v>1592</v>
      </c>
      <c r="F46" s="1011">
        <v>1768000</v>
      </c>
    </row>
    <row r="47" spans="1:8" ht="20.100000000000001" customHeight="1" thickBot="1">
      <c r="A47" s="1015"/>
      <c r="B47" s="1016"/>
      <c r="C47" s="1026">
        <f>SUM(C40:C46)</f>
        <v>177121500</v>
      </c>
      <c r="D47" s="1016"/>
      <c r="E47" s="1016"/>
      <c r="F47" s="1026">
        <f>SUM(F40:F46)</f>
        <v>177121500</v>
      </c>
    </row>
    <row r="48" spans="1:8" ht="24.95" customHeight="1" thickTop="1">
      <c r="A48" s="1027"/>
      <c r="B48" s="1027" t="s">
        <v>1393</v>
      </c>
      <c r="C48" s="1027" t="s">
        <v>581</v>
      </c>
      <c r="D48" s="1027" t="s">
        <v>1394</v>
      </c>
      <c r="E48" s="1027" t="s">
        <v>1395</v>
      </c>
      <c r="F48" s="1027" t="s">
        <v>1396</v>
      </c>
    </row>
    <row r="49" spans="1:6" ht="24.95" customHeight="1">
      <c r="A49" s="1028" t="s">
        <v>1397</v>
      </c>
      <c r="B49" s="1008" t="s">
        <v>1398</v>
      </c>
      <c r="C49" s="1008">
        <v>80000</v>
      </c>
      <c r="D49" s="1028" t="s">
        <v>1399</v>
      </c>
      <c r="E49" s="1028" t="s">
        <v>1400</v>
      </c>
      <c r="F49" s="1028">
        <v>17</v>
      </c>
    </row>
    <row r="50" spans="1:6" ht="24.95" customHeight="1">
      <c r="A50" s="1028">
        <v>2</v>
      </c>
      <c r="B50" s="1008" t="s">
        <v>1401</v>
      </c>
      <c r="C50" s="1008">
        <v>10000</v>
      </c>
      <c r="D50" s="1028" t="s">
        <v>1402</v>
      </c>
      <c r="E50" s="1028">
        <v>37</v>
      </c>
      <c r="F50" s="1028">
        <v>15</v>
      </c>
    </row>
    <row r="51" spans="1:6" ht="24.95" customHeight="1">
      <c r="A51" s="1008"/>
      <c r="B51" s="1008" t="s">
        <v>1403</v>
      </c>
      <c r="C51" s="1008">
        <v>4000</v>
      </c>
      <c r="D51" s="1028" t="s">
        <v>1404</v>
      </c>
      <c r="E51" s="1028">
        <v>37</v>
      </c>
      <c r="F51" s="1028">
        <v>15</v>
      </c>
    </row>
    <row r="52" spans="1:6" ht="24.95" customHeight="1">
      <c r="A52" s="1008"/>
      <c r="B52" s="1008" t="s">
        <v>1405</v>
      </c>
      <c r="C52" s="1008">
        <v>40000</v>
      </c>
      <c r="D52" s="1028" t="s">
        <v>1589</v>
      </c>
      <c r="E52" s="1028">
        <v>40</v>
      </c>
      <c r="F52" s="1028">
        <v>16</v>
      </c>
    </row>
    <row r="53" spans="1:6" ht="24.95" customHeight="1">
      <c r="A53" s="1028">
        <v>3</v>
      </c>
      <c r="B53" s="1008" t="s">
        <v>1644</v>
      </c>
      <c r="C53" s="1008">
        <f>200000*0.3</f>
        <v>60000</v>
      </c>
      <c r="D53" s="1028" t="s">
        <v>1406</v>
      </c>
      <c r="E53" s="1028">
        <v>40</v>
      </c>
      <c r="F53" s="1028">
        <v>16</v>
      </c>
    </row>
    <row r="54" spans="1:6" ht="24.95" customHeight="1">
      <c r="A54" s="1028">
        <v>4</v>
      </c>
      <c r="B54" s="1008" t="s">
        <v>1407</v>
      </c>
      <c r="C54" s="1008">
        <v>48000</v>
      </c>
      <c r="D54" s="1028" t="s">
        <v>1408</v>
      </c>
      <c r="E54" s="1028" t="s">
        <v>1409</v>
      </c>
      <c r="F54" s="1028">
        <v>17</v>
      </c>
    </row>
    <row r="55" spans="1:6" ht="24.95" customHeight="1">
      <c r="A55" s="1028">
        <v>5</v>
      </c>
      <c r="B55" s="1008" t="s">
        <v>1591</v>
      </c>
      <c r="C55" s="1008">
        <v>50000</v>
      </c>
      <c r="D55" s="1028" t="s">
        <v>1410</v>
      </c>
      <c r="E55" s="1028" t="s">
        <v>1411</v>
      </c>
      <c r="F55" s="1028">
        <v>17</v>
      </c>
    </row>
    <row r="56" spans="1:6" ht="24.95" customHeight="1">
      <c r="A56" s="1028">
        <v>7</v>
      </c>
      <c r="B56" s="1008" t="s">
        <v>1414</v>
      </c>
      <c r="C56" s="1029">
        <f>37000</f>
        <v>37000</v>
      </c>
      <c r="D56" s="1028" t="s">
        <v>1645</v>
      </c>
      <c r="E56" s="1028" t="s">
        <v>1415</v>
      </c>
      <c r="F56" s="1028">
        <v>18</v>
      </c>
    </row>
    <row r="57" spans="1:6" ht="24.95" customHeight="1">
      <c r="C57" s="1030">
        <f>SUM(C49:C56)</f>
        <v>329000</v>
      </c>
      <c r="E57" s="1028"/>
      <c r="F57" s="1028"/>
    </row>
    <row r="58" spans="1:6" ht="24.95" customHeight="1">
      <c r="A58" s="1028">
        <v>6</v>
      </c>
      <c r="B58" s="1008" t="s">
        <v>1412</v>
      </c>
      <c r="C58" s="1031">
        <f>40000*-1</f>
        <v>-40000</v>
      </c>
      <c r="D58" s="1028" t="s">
        <v>1748</v>
      </c>
      <c r="E58" s="1028" t="s">
        <v>1413</v>
      </c>
      <c r="F58" s="1028">
        <v>31</v>
      </c>
    </row>
    <row r="59" spans="1:6" ht="24.95" customHeight="1">
      <c r="A59" s="1142" t="s">
        <v>1418</v>
      </c>
      <c r="B59" s="1142"/>
      <c r="C59" s="1142"/>
    </row>
    <row r="60" spans="1:6" ht="24.95" customHeight="1">
      <c r="A60" s="1028">
        <v>6</v>
      </c>
      <c r="B60" s="1008" t="s">
        <v>1419</v>
      </c>
      <c r="F60" s="1028">
        <v>14</v>
      </c>
    </row>
    <row r="61" spans="1:6" ht="24.95" customHeight="1">
      <c r="A61" s="1028">
        <v>7</v>
      </c>
      <c r="B61" s="1008" t="s">
        <v>1560</v>
      </c>
      <c r="F61" s="1028">
        <v>15</v>
      </c>
    </row>
    <row r="62" spans="1:6" ht="24.95" customHeight="1">
      <c r="A62" s="1028" t="s">
        <v>1417</v>
      </c>
      <c r="B62" s="1008" t="s">
        <v>1561</v>
      </c>
      <c r="F62" s="1028">
        <v>16</v>
      </c>
    </row>
    <row r="63" spans="1:6" ht="24.95" customHeight="1">
      <c r="A63" s="1046" t="s">
        <v>198</v>
      </c>
      <c r="B63" s="1008" t="s">
        <v>1420</v>
      </c>
      <c r="F63" s="1028">
        <v>30</v>
      </c>
    </row>
    <row r="64" spans="1:6" ht="24.95" customHeight="1">
      <c r="A64" s="1028">
        <v>9</v>
      </c>
      <c r="B64" s="1008" t="s">
        <v>1576</v>
      </c>
      <c r="F64" s="1028">
        <v>17</v>
      </c>
    </row>
    <row r="65" spans="1:6" ht="24.95" customHeight="1">
      <c r="A65" s="1046">
        <v>10</v>
      </c>
      <c r="B65" s="1008" t="s">
        <v>1421</v>
      </c>
      <c r="F65" s="1028">
        <v>31</v>
      </c>
    </row>
    <row r="66" spans="1:6" ht="24.95" customHeight="1">
      <c r="A66" s="1028">
        <v>11</v>
      </c>
      <c r="B66" s="1008" t="s">
        <v>1422</v>
      </c>
      <c r="F66" s="1028">
        <v>18</v>
      </c>
    </row>
    <row r="67" spans="1:6" ht="24.95" customHeight="1" thickBot="1">
      <c r="A67" s="1032"/>
      <c r="F67" s="1033"/>
    </row>
    <row r="68" spans="1:6" ht="24.95" customHeight="1" thickTop="1">
      <c r="B68" s="1139" t="s">
        <v>1278</v>
      </c>
      <c r="C68" s="1139"/>
      <c r="D68" s="1139"/>
      <c r="E68" s="1139"/>
      <c r="F68" s="1139"/>
    </row>
    <row r="69" spans="1:6" ht="24.95" customHeight="1">
      <c r="B69" s="1034" t="s">
        <v>1782</v>
      </c>
      <c r="C69" s="1035">
        <v>3665000</v>
      </c>
      <c r="D69" s="1138">
        <v>0.15</v>
      </c>
    </row>
    <row r="70" spans="1:6" ht="24.95" customHeight="1">
      <c r="B70" s="1034" t="s">
        <v>1783</v>
      </c>
      <c r="C70" s="1044">
        <v>-115000</v>
      </c>
      <c r="D70" s="1138"/>
      <c r="E70" s="1034">
        <f>(C69+C70)*D69</f>
        <v>532500</v>
      </c>
    </row>
    <row r="71" spans="1:6" ht="24.95" customHeight="1">
      <c r="B71" s="1034" t="s">
        <v>1801</v>
      </c>
      <c r="C71" s="1035">
        <v>35000</v>
      </c>
      <c r="D71" s="1054">
        <v>0.15</v>
      </c>
      <c r="E71" s="1034">
        <f>C71*D71</f>
        <v>5250</v>
      </c>
    </row>
    <row r="72" spans="1:6" ht="24.95" customHeight="1" thickBot="1">
      <c r="B72" s="1037" t="s">
        <v>1533</v>
      </c>
      <c r="C72" s="1038">
        <f>+C71</f>
        <v>35000</v>
      </c>
      <c r="D72" s="1055">
        <v>0.2</v>
      </c>
      <c r="E72" s="1037">
        <f>C72*D72</f>
        <v>7000</v>
      </c>
      <c r="F72" s="1033">
        <f>E70+E71+E72</f>
        <v>544750</v>
      </c>
    </row>
    <row r="73" spans="1:6" ht="24.95" customHeight="1">
      <c r="B73" s="1034"/>
      <c r="C73" s="1035"/>
      <c r="D73" s="1036"/>
      <c r="E73" s="1034"/>
    </row>
    <row r="74" spans="1:6" ht="24.95" customHeight="1">
      <c r="B74" s="1034" t="s">
        <v>1784</v>
      </c>
      <c r="C74" s="1035">
        <v>1310000</v>
      </c>
      <c r="D74" s="1138">
        <v>0.4</v>
      </c>
    </row>
    <row r="75" spans="1:6" ht="24.95" customHeight="1">
      <c r="B75" s="1034" t="s">
        <v>1783</v>
      </c>
      <c r="C75" s="1044">
        <v>-2000</v>
      </c>
      <c r="D75" s="1138"/>
      <c r="E75" s="1034">
        <f>(C74+C75)*D74</f>
        <v>523200</v>
      </c>
    </row>
    <row r="76" spans="1:6" ht="24.95" customHeight="1">
      <c r="B76" s="1034" t="s">
        <v>1803</v>
      </c>
      <c r="C76" s="1035">
        <v>90000</v>
      </c>
      <c r="D76" s="1054">
        <v>0.4</v>
      </c>
      <c r="E76" s="1034">
        <f>C76*D76</f>
        <v>36000</v>
      </c>
    </row>
    <row r="77" spans="1:6" ht="24.95" customHeight="1" thickBot="1">
      <c r="B77" s="1037" t="s">
        <v>1802</v>
      </c>
      <c r="C77" s="1038">
        <v>200000</v>
      </c>
      <c r="D77" s="1055">
        <v>0.4</v>
      </c>
      <c r="E77" s="1037">
        <f>C77*D77/2</f>
        <v>40000</v>
      </c>
      <c r="F77" s="1033">
        <f>E75+E76+E77</f>
        <v>599200</v>
      </c>
    </row>
    <row r="78" spans="1:6" ht="24.95" customHeight="1">
      <c r="B78" s="1034"/>
      <c r="C78" s="1035"/>
      <c r="D78" s="1054"/>
      <c r="E78" s="1034"/>
    </row>
    <row r="79" spans="1:6" ht="24.95" customHeight="1">
      <c r="B79" s="1034" t="s">
        <v>1785</v>
      </c>
      <c r="C79" s="1035">
        <v>800000</v>
      </c>
      <c r="D79" s="1138">
        <v>0.1</v>
      </c>
    </row>
    <row r="80" spans="1:6" ht="24.95" customHeight="1">
      <c r="B80" s="1034" t="s">
        <v>1783</v>
      </c>
      <c r="C80" s="1044">
        <v>-6000</v>
      </c>
      <c r="D80" s="1138"/>
      <c r="E80" s="1034">
        <f>(C79+C80)*D79</f>
        <v>79400</v>
      </c>
    </row>
    <row r="81" spans="2:6" ht="24.95" customHeight="1" thickBot="1">
      <c r="B81" s="1037" t="s">
        <v>1802</v>
      </c>
      <c r="C81" s="1038">
        <v>10000</v>
      </c>
      <c r="D81" s="1055">
        <v>0.1</v>
      </c>
      <c r="E81" s="1037">
        <f>C81*D81/2</f>
        <v>500</v>
      </c>
      <c r="F81" s="1033">
        <f>E80+E81</f>
        <v>79900</v>
      </c>
    </row>
    <row r="82" spans="2:6" ht="24.95" customHeight="1">
      <c r="B82" s="1034"/>
      <c r="C82" s="1035"/>
      <c r="D82" s="1034"/>
      <c r="E82" s="1039"/>
      <c r="F82" s="1045"/>
    </row>
    <row r="83" spans="2:6" ht="24.95" customHeight="1">
      <c r="E83" s="1068" t="s">
        <v>1368</v>
      </c>
      <c r="F83" s="1041"/>
    </row>
    <row r="84" spans="2:6" ht="24.95" customHeight="1">
      <c r="E84" s="1064" t="s">
        <v>1804</v>
      </c>
      <c r="F84" s="1065">
        <f>+F72</f>
        <v>544750</v>
      </c>
    </row>
    <row r="85" spans="2:6" ht="24.95" customHeight="1">
      <c r="D85" s="1040"/>
      <c r="E85" s="1064" t="s">
        <v>1805</v>
      </c>
      <c r="F85" s="1065">
        <f>+F77</f>
        <v>599200</v>
      </c>
    </row>
    <row r="86" spans="2:6" ht="24.95" customHeight="1">
      <c r="E86" s="1068" t="s">
        <v>1369</v>
      </c>
    </row>
    <row r="87" spans="2:6" ht="24.95" customHeight="1">
      <c r="E87" s="1064" t="s">
        <v>1806</v>
      </c>
      <c r="F87" s="1008">
        <f>+F81</f>
        <v>79900</v>
      </c>
    </row>
    <row r="88" spans="2:6" ht="24.95" customHeight="1" thickBot="1">
      <c r="E88" s="1066" t="s">
        <v>1777</v>
      </c>
      <c r="F88" s="1067">
        <f>SUM(F84:F87)</f>
        <v>1223850</v>
      </c>
    </row>
    <row r="89" spans="2:6" ht="24.95" customHeight="1" thickTop="1"/>
  </sheetData>
  <mergeCells count="7">
    <mergeCell ref="D69:D70"/>
    <mergeCell ref="D74:D75"/>
    <mergeCell ref="B68:F68"/>
    <mergeCell ref="D79:D80"/>
    <mergeCell ref="A1:F1"/>
    <mergeCell ref="A39:F39"/>
    <mergeCell ref="A59:C59"/>
  </mergeCells>
  <printOptions horizontalCentered="1" verticalCentered="1"/>
  <pageMargins left="0" right="0" top="0" bottom="0" header="0" footer="0"/>
  <pageSetup scale="79" fitToHeight="0" orientation="portrait" r:id="rId1"/>
  <rowBreaks count="1" manualBreakCount="1">
    <brk id="47" max="5" man="1"/>
  </rowBreak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40"/>
  <sheetViews>
    <sheetView showZeros="0" topLeftCell="A19" zoomScale="130" zoomScaleNormal="130" zoomScaleSheetLayoutView="110" workbookViewId="0">
      <selection activeCell="L36" sqref="L36"/>
    </sheetView>
  </sheetViews>
  <sheetFormatPr defaultColWidth="9.140625" defaultRowHeight="12.75"/>
  <cols>
    <col min="1" max="1" width="3.5703125" style="460" customWidth="1"/>
    <col min="2" max="2" width="10.28515625" style="682" customWidth="1"/>
    <col min="3" max="3" width="10.7109375" style="416" customWidth="1"/>
    <col min="4" max="4" width="10.85546875" style="416" customWidth="1"/>
    <col min="5" max="5" width="13.85546875" style="416" customWidth="1"/>
    <col min="6" max="6" width="12" style="416" customWidth="1"/>
    <col min="7" max="7" width="11.42578125" style="416" customWidth="1"/>
    <col min="8" max="8" width="11.140625" style="416" customWidth="1"/>
    <col min="9" max="9" width="1.85546875" style="476" customWidth="1"/>
    <col min="10" max="10" width="3.42578125" style="416" customWidth="1"/>
    <col min="11" max="11" width="24.42578125" style="416" customWidth="1"/>
    <col min="12" max="12" width="11.85546875" style="416" customWidth="1"/>
    <col min="13" max="13" width="10.85546875" style="416" customWidth="1"/>
    <col min="14" max="14" width="11.28515625" style="416" customWidth="1"/>
    <col min="15" max="16" width="12" style="416" customWidth="1"/>
    <col min="17" max="16384" width="9.140625" style="416"/>
  </cols>
  <sheetData>
    <row r="1" spans="1:13" s="413" customFormat="1" ht="18.75" customHeight="1">
      <c r="A1" s="1143" t="s">
        <v>1621</v>
      </c>
      <c r="B1" s="1144"/>
      <c r="C1" s="1144"/>
      <c r="D1" s="1144"/>
      <c r="E1" s="1144"/>
      <c r="F1" s="1144"/>
      <c r="G1" s="1144"/>
      <c r="H1" s="1144"/>
      <c r="I1" s="1145"/>
    </row>
    <row r="2" spans="1:13" ht="18" customHeight="1" thickBot="1">
      <c r="A2" s="1111" t="s">
        <v>562</v>
      </c>
      <c r="B2" s="1112"/>
      <c r="C2" s="1112"/>
      <c r="D2" s="1112"/>
      <c r="E2" s="1112"/>
      <c r="F2" s="1112"/>
      <c r="G2" s="1112"/>
      <c r="H2" s="1112"/>
      <c r="I2" s="1113"/>
      <c r="K2" s="848" t="s">
        <v>1133</v>
      </c>
    </row>
    <row r="3" spans="1:13" ht="20.100000000000001" customHeight="1">
      <c r="A3" s="417"/>
      <c r="B3" s="852" t="s">
        <v>1506</v>
      </c>
      <c r="C3" s="419"/>
      <c r="D3" s="419"/>
      <c r="E3" s="419"/>
      <c r="F3" s="419"/>
      <c r="G3" s="419"/>
      <c r="H3" s="501" t="s">
        <v>1013</v>
      </c>
      <c r="I3" s="470"/>
      <c r="K3" s="416" t="s">
        <v>1602</v>
      </c>
      <c r="L3" s="416">
        <v>489600</v>
      </c>
    </row>
    <row r="4" spans="1:13" ht="15" customHeight="1">
      <c r="A4" s="420"/>
      <c r="B4" s="435"/>
      <c r="C4" s="422" t="s">
        <v>567</v>
      </c>
      <c r="D4" s="422"/>
      <c r="E4" s="431"/>
      <c r="F4" s="423"/>
      <c r="G4" s="411">
        <f>+L7</f>
        <v>692800</v>
      </c>
      <c r="H4" s="482"/>
      <c r="I4" s="471"/>
      <c r="K4" s="416" t="s">
        <v>1619</v>
      </c>
      <c r="L4" s="416">
        <v>42512</v>
      </c>
    </row>
    <row r="5" spans="1:13" ht="15" customHeight="1">
      <c r="A5" s="420"/>
      <c r="B5" s="408"/>
      <c r="C5" s="672" t="s">
        <v>1622</v>
      </c>
      <c r="D5" s="415"/>
      <c r="E5" s="415"/>
      <c r="F5" s="415"/>
      <c r="G5" s="923">
        <f>+L8</f>
        <v>19200</v>
      </c>
      <c r="H5" s="482">
        <f>G4-G5</f>
        <v>673600</v>
      </c>
      <c r="I5" s="472"/>
      <c r="K5" s="416" t="s">
        <v>1603</v>
      </c>
      <c r="L5" s="416">
        <v>117504</v>
      </c>
    </row>
    <row r="6" spans="1:13" ht="15" customHeight="1">
      <c r="A6" s="420"/>
      <c r="B6" s="853" t="s">
        <v>1507</v>
      </c>
      <c r="C6" s="415"/>
      <c r="D6" s="415"/>
      <c r="E6" s="922" t="s">
        <v>1612</v>
      </c>
      <c r="F6" s="423"/>
      <c r="G6" s="415"/>
      <c r="H6" s="482"/>
      <c r="I6" s="472"/>
      <c r="K6" s="416" t="s">
        <v>1604</v>
      </c>
      <c r="L6" s="681">
        <v>43184</v>
      </c>
    </row>
    <row r="7" spans="1:13" ht="15" customHeight="1">
      <c r="A7" s="420"/>
      <c r="B7" s="853"/>
      <c r="C7" s="583" t="s">
        <v>1164</v>
      </c>
      <c r="D7" s="422"/>
      <c r="E7" s="672"/>
      <c r="F7" s="679"/>
      <c r="G7" s="411"/>
      <c r="H7" s="482"/>
      <c r="I7" s="472"/>
      <c r="L7" s="416">
        <f>SUM(L3:L6)</f>
        <v>692800</v>
      </c>
    </row>
    <row r="8" spans="1:13" ht="15" customHeight="1">
      <c r="A8" s="420"/>
      <c r="B8" s="583"/>
      <c r="C8" s="7" t="s">
        <v>1505</v>
      </c>
      <c r="D8" s="415"/>
      <c r="E8" s="855" t="s">
        <v>1613</v>
      </c>
      <c r="F8" s="882"/>
      <c r="G8" s="523">
        <v>205000</v>
      </c>
      <c r="H8" s="482">
        <f>0-G8+5000</f>
        <v>-200000</v>
      </c>
      <c r="I8" s="472"/>
      <c r="K8" s="416" t="s">
        <v>1623</v>
      </c>
      <c r="L8" s="681">
        <v>19200</v>
      </c>
      <c r="M8" s="416">
        <f>L7-L8</f>
        <v>673600</v>
      </c>
    </row>
    <row r="9" spans="1:13" ht="20.100000000000001" customHeight="1">
      <c r="A9" s="420"/>
      <c r="B9" s="435" t="s">
        <v>1508</v>
      </c>
      <c r="C9" s="415"/>
      <c r="D9" s="415"/>
      <c r="E9" s="415"/>
      <c r="F9" s="415"/>
      <c r="G9" s="415"/>
      <c r="H9" s="482"/>
      <c r="I9" s="471"/>
    </row>
    <row r="10" spans="1:13" ht="15.75" customHeight="1">
      <c r="A10" s="420"/>
      <c r="B10" s="435"/>
      <c r="C10" s="422" t="s">
        <v>1247</v>
      </c>
      <c r="D10" s="415"/>
      <c r="E10" s="415"/>
      <c r="F10" s="415"/>
      <c r="G10" s="411"/>
      <c r="H10" s="482"/>
      <c r="I10" s="471"/>
    </row>
    <row r="11" spans="1:13" ht="16.5" customHeight="1">
      <c r="A11" s="420"/>
      <c r="B11" s="435"/>
      <c r="C11" s="422" t="s">
        <v>1607</v>
      </c>
      <c r="D11" s="415"/>
      <c r="E11" s="415"/>
      <c r="F11" s="415"/>
      <c r="G11" s="411">
        <v>3000</v>
      </c>
      <c r="H11" s="482"/>
      <c r="I11" s="471"/>
    </row>
    <row r="12" spans="1:13" ht="15.75" customHeight="1">
      <c r="A12" s="420"/>
      <c r="B12" s="854"/>
      <c r="C12" s="422" t="s">
        <v>1606</v>
      </c>
      <c r="D12" s="431"/>
      <c r="E12" s="431"/>
      <c r="F12" s="415"/>
      <c r="G12" s="411">
        <v>4000</v>
      </c>
      <c r="H12" s="482"/>
      <c r="I12" s="471"/>
    </row>
    <row r="13" spans="1:13" ht="13.5">
      <c r="A13" s="420"/>
      <c r="B13" s="903"/>
      <c r="C13" s="422"/>
      <c r="D13" s="847"/>
      <c r="E13" s="881"/>
      <c r="F13" s="408"/>
      <c r="G13" s="462"/>
      <c r="H13" s="482"/>
      <c r="I13" s="471"/>
    </row>
    <row r="14" spans="1:13" ht="15" customHeight="1">
      <c r="A14" s="420"/>
      <c r="B14" s="855"/>
      <c r="C14" s="431"/>
      <c r="D14" s="434"/>
      <c r="E14" s="433"/>
      <c r="F14" s="433"/>
      <c r="G14" s="480">
        <f>SUM(G11:G13)</f>
        <v>7000</v>
      </c>
      <c r="H14" s="482"/>
      <c r="I14" s="471"/>
    </row>
    <row r="15" spans="1:13" ht="15" customHeight="1">
      <c r="A15" s="420"/>
      <c r="B15" s="855"/>
      <c r="C15" s="415"/>
      <c r="D15" s="415"/>
      <c r="E15" s="415"/>
      <c r="F15" s="415"/>
      <c r="G15" s="437"/>
      <c r="H15" s="482">
        <f>+G14</f>
        <v>7000</v>
      </c>
      <c r="I15" s="472"/>
    </row>
    <row r="16" spans="1:13" ht="15" customHeight="1">
      <c r="A16" s="420"/>
      <c r="B16" s="653"/>
      <c r="C16" s="435"/>
      <c r="D16" s="436"/>
      <c r="E16" s="415"/>
      <c r="F16" s="444"/>
      <c r="G16" s="437"/>
      <c r="H16" s="484"/>
      <c r="I16" s="534"/>
    </row>
    <row r="17" spans="1:13" ht="15" customHeight="1">
      <c r="A17" s="420"/>
      <c r="B17" s="435" t="s">
        <v>501</v>
      </c>
      <c r="C17" s="415"/>
      <c r="D17" s="415"/>
      <c r="E17" s="428"/>
      <c r="F17" s="428"/>
      <c r="G17" s="424"/>
      <c r="H17" s="485">
        <f>SUM(H5:H15)</f>
        <v>480600</v>
      </c>
      <c r="I17" s="472"/>
    </row>
    <row r="18" spans="1:13" ht="15" customHeight="1">
      <c r="A18" s="420" t="s">
        <v>1275</v>
      </c>
      <c r="B18" s="590" t="s">
        <v>1509</v>
      </c>
      <c r="C18" s="415"/>
      <c r="D18" s="415"/>
      <c r="E18" s="415"/>
      <c r="F18" s="415"/>
      <c r="G18" s="415"/>
      <c r="H18" s="482"/>
      <c r="I18" s="471"/>
    </row>
    <row r="19" spans="1:13" ht="15" customHeight="1">
      <c r="A19" s="420"/>
      <c r="B19" s="680"/>
      <c r="C19" s="435" t="s">
        <v>1512</v>
      </c>
      <c r="D19" s="415"/>
      <c r="E19" s="415"/>
      <c r="F19" s="415"/>
      <c r="G19" s="423"/>
      <c r="H19" s="482"/>
      <c r="I19" s="471"/>
    </row>
    <row r="20" spans="1:13" ht="15" customHeight="1">
      <c r="A20" s="420"/>
      <c r="B20" s="680"/>
      <c r="C20" s="408" t="s">
        <v>1608</v>
      </c>
      <c r="D20" s="415"/>
      <c r="E20" s="415"/>
      <c r="F20" s="411">
        <v>56400</v>
      </c>
      <c r="G20" s="423"/>
      <c r="H20" s="482"/>
      <c r="I20" s="471"/>
    </row>
    <row r="21" spans="1:13" ht="15" customHeight="1">
      <c r="A21" s="420"/>
      <c r="B21" s="680"/>
      <c r="C21" s="408" t="s">
        <v>1609</v>
      </c>
      <c r="D21" s="415"/>
      <c r="E21" s="415"/>
      <c r="F21" s="411">
        <v>6000</v>
      </c>
      <c r="G21" s="423"/>
      <c r="H21" s="482"/>
      <c r="I21" s="471"/>
    </row>
    <row r="22" spans="1:13" ht="15" customHeight="1">
      <c r="A22" s="420"/>
      <c r="B22" s="680"/>
      <c r="C22" s="408" t="s">
        <v>1610</v>
      </c>
      <c r="D22" s="415"/>
      <c r="E22" s="415"/>
      <c r="F22" s="411">
        <v>10500</v>
      </c>
      <c r="G22" s="423"/>
      <c r="H22" s="482"/>
      <c r="I22" s="471"/>
    </row>
    <row r="23" spans="1:13" ht="15" customHeight="1">
      <c r="A23" s="420"/>
      <c r="B23" s="680"/>
      <c r="C23" s="408" t="s">
        <v>1611</v>
      </c>
      <c r="D23" s="415"/>
      <c r="E23" s="415"/>
      <c r="F23" s="411">
        <v>95000</v>
      </c>
      <c r="G23" s="423"/>
      <c r="H23" s="482"/>
      <c r="I23" s="471"/>
    </row>
    <row r="24" spans="1:13" ht="15" customHeight="1">
      <c r="A24" s="420"/>
      <c r="B24" s="680"/>
      <c r="C24" s="408" t="s">
        <v>509</v>
      </c>
      <c r="D24" s="415"/>
      <c r="E24" s="415"/>
      <c r="F24" s="411">
        <v>10000</v>
      </c>
      <c r="G24" s="423"/>
      <c r="H24" s="482"/>
      <c r="I24" s="471"/>
    </row>
    <row r="25" spans="1:13" ht="15" customHeight="1">
      <c r="A25" s="420"/>
      <c r="B25" s="680"/>
      <c r="C25" s="431"/>
      <c r="D25" s="415"/>
      <c r="E25" s="415"/>
      <c r="F25" s="448">
        <f>SUM(F20:F24)</f>
        <v>177900</v>
      </c>
      <c r="G25" s="415">
        <f>IF(F25&gt;150000,150000,F25)</f>
        <v>150000</v>
      </c>
      <c r="H25" s="482"/>
      <c r="I25" s="471"/>
    </row>
    <row r="26" spans="1:13" ht="15" customHeight="1">
      <c r="A26" s="420"/>
      <c r="B26" s="680"/>
      <c r="C26" s="449" t="s">
        <v>979</v>
      </c>
      <c r="D26" s="857"/>
      <c r="E26" s="428"/>
      <c r="F26" s="428"/>
      <c r="G26" s="447"/>
      <c r="H26" s="482"/>
      <c r="I26" s="471"/>
    </row>
    <row r="27" spans="1:13">
      <c r="A27" s="420"/>
      <c r="B27" s="408"/>
      <c r="H27" s="482">
        <f>SUM(G25:G26)</f>
        <v>150000</v>
      </c>
      <c r="I27" s="472"/>
    </row>
    <row r="28" spans="1:13" ht="15.75" customHeight="1" thickBot="1">
      <c r="A28" s="420"/>
      <c r="B28" s="856" t="s">
        <v>777</v>
      </c>
      <c r="C28" s="415"/>
      <c r="D28" s="415"/>
      <c r="E28" s="930">
        <f>IF((H17-H27)&lt;0,0,(H17-H27))</f>
        <v>330600</v>
      </c>
      <c r="F28" s="453" t="s">
        <v>1617</v>
      </c>
      <c r="G28" s="440"/>
      <c r="H28" s="486">
        <f>ROUND((E28/10),0)*10</f>
        <v>330600</v>
      </c>
      <c r="I28" s="475"/>
      <c r="L28" s="685"/>
      <c r="M28" s="685"/>
    </row>
    <row r="29" spans="1:13" ht="21.75" customHeight="1" thickTop="1">
      <c r="A29" s="420"/>
      <c r="B29" s="449" t="s">
        <v>778</v>
      </c>
      <c r="C29" s="415"/>
      <c r="D29" s="415"/>
      <c r="E29" s="931" t="s">
        <v>521</v>
      </c>
      <c r="F29" s="454"/>
      <c r="G29" s="931" t="s">
        <v>524</v>
      </c>
      <c r="H29" s="913">
        <f>+G30</f>
        <v>4030</v>
      </c>
      <c r="I29" s="471"/>
      <c r="K29" s="868" t="s">
        <v>1625</v>
      </c>
      <c r="L29" s="416">
        <v>4030</v>
      </c>
    </row>
    <row r="30" spans="1:13" ht="15" hidden="1" customHeight="1">
      <c r="A30" s="420"/>
      <c r="B30" s="912">
        <v>21568</v>
      </c>
      <c r="C30" s="467"/>
      <c r="D30" s="408" t="s">
        <v>1574</v>
      </c>
      <c r="E30" s="455">
        <f>H28-E32-E31</f>
        <v>330600</v>
      </c>
      <c r="F30" s="456"/>
      <c r="G30" s="415">
        <f>IF(+C30="Sr Citizen",ROUND(IF(E30&gt;1000000,(((E30-1000000)*0.3)+110000),IF(E30&gt;500000,(((E30-500000)*0.2)+10000),IF(E30&gt;300000,((E30-300000)*0.05),0))),0),ROUND(IF(E30&gt;1000000,(((E30-1000000)*0.3)+112500),IF(E30&gt;500000,(((E30-500000)*0.2)+12500),IF(E30&gt;250000,((E30-250000)*0.05),0))),0))</f>
        <v>4030</v>
      </c>
      <c r="H30" s="487"/>
      <c r="I30" s="471"/>
      <c r="K30" s="890"/>
    </row>
    <row r="31" spans="1:13" ht="15" hidden="1" customHeight="1">
      <c r="A31" s="420"/>
      <c r="B31" s="883"/>
      <c r="C31" s="467"/>
      <c r="D31" s="408" t="s">
        <v>1563</v>
      </c>
      <c r="E31" s="455"/>
      <c r="F31" s="678"/>
      <c r="G31" s="415">
        <f>ROUND(E31*F31,0)</f>
        <v>0</v>
      </c>
      <c r="H31" s="487"/>
      <c r="I31" s="471"/>
      <c r="K31" s="868"/>
    </row>
    <row r="32" spans="1:13" ht="18.75" customHeight="1">
      <c r="A32" s="420"/>
      <c r="B32" s="929" t="s">
        <v>1620</v>
      </c>
      <c r="D32" s="408"/>
      <c r="E32" s="753"/>
      <c r="F32" s="678"/>
      <c r="H32" s="528">
        <f>IF(H28&gt;350000,0,IF(G30&gt;2500,2500,G30))</f>
        <v>2500</v>
      </c>
      <c r="I32" s="473"/>
      <c r="K32" s="868" t="s">
        <v>1626</v>
      </c>
      <c r="L32" s="425">
        <f>4030*0.04</f>
        <v>161.20000000000002</v>
      </c>
    </row>
    <row r="33" spans="1:13" ht="15" hidden="1" customHeight="1">
      <c r="A33" s="420"/>
      <c r="B33" s="601" t="s">
        <v>1564</v>
      </c>
      <c r="C33" s="524"/>
      <c r="D33" s="678"/>
      <c r="E33" s="753"/>
      <c r="G33" s="538"/>
      <c r="H33" s="696"/>
      <c r="I33" s="473"/>
      <c r="K33" s="868"/>
    </row>
    <row r="34" spans="1:13" ht="15" customHeight="1">
      <c r="A34" s="420"/>
      <c r="B34" s="449" t="s">
        <v>1243</v>
      </c>
      <c r="C34" s="524"/>
      <c r="D34" s="415"/>
      <c r="E34" s="753"/>
      <c r="F34" s="754"/>
      <c r="G34" s="526"/>
      <c r="H34" s="489">
        <f>H29-H32</f>
        <v>1530</v>
      </c>
      <c r="I34" s="472"/>
      <c r="K34" s="868" t="s">
        <v>1627</v>
      </c>
      <c r="L34" s="685">
        <f>L29+L32</f>
        <v>4191.2</v>
      </c>
    </row>
    <row r="35" spans="1:13" ht="15" customHeight="1">
      <c r="A35" s="420"/>
      <c r="B35" s="408" t="s">
        <v>774</v>
      </c>
      <c r="C35" s="415"/>
      <c r="D35" s="456"/>
      <c r="E35" s="428"/>
      <c r="F35" s="415"/>
      <c r="G35" s="428"/>
      <c r="H35" s="489">
        <f>ROUND((H34)*0.02,0)</f>
        <v>31</v>
      </c>
      <c r="I35" s="472"/>
      <c r="K35" s="868" t="s">
        <v>1628</v>
      </c>
      <c r="L35" s="416">
        <v>2500</v>
      </c>
    </row>
    <row r="36" spans="1:13" ht="15" customHeight="1" thickBot="1">
      <c r="A36" s="925"/>
      <c r="B36" s="408" t="s">
        <v>775</v>
      </c>
      <c r="C36" s="681"/>
      <c r="D36" s="926"/>
      <c r="E36" s="927"/>
      <c r="F36" s="681"/>
      <c r="G36" s="928"/>
      <c r="H36" s="528">
        <f>ROUND((H34)*0.01,0)</f>
        <v>15</v>
      </c>
      <c r="I36" s="474"/>
      <c r="K36" s="868"/>
      <c r="L36" s="933">
        <f>L34-L35</f>
        <v>1691.1999999999998</v>
      </c>
    </row>
    <row r="37" spans="1:13" ht="18" customHeight="1" thickTop="1" thickBot="1">
      <c r="A37" s="914"/>
      <c r="B37" s="915" t="s">
        <v>565</v>
      </c>
      <c r="C37" s="916"/>
      <c r="D37" s="917"/>
      <c r="E37" s="918"/>
      <c r="F37" s="924" t="s">
        <v>1618</v>
      </c>
      <c r="G37" s="919"/>
      <c r="H37" s="920">
        <f>SUM(H34:H36)+5</f>
        <v>1581</v>
      </c>
      <c r="I37" s="921"/>
      <c r="K37" s="713" t="s">
        <v>1624</v>
      </c>
      <c r="M37" s="685"/>
    </row>
    <row r="38" spans="1:13" ht="18" hidden="1" customHeight="1" thickTop="1">
      <c r="A38" s="808"/>
      <c r="B38" s="899"/>
      <c r="C38" s="809"/>
      <c r="D38" s="752"/>
      <c r="E38" s="428"/>
      <c r="G38" s="894"/>
      <c r="H38" s="811"/>
      <c r="I38" s="810"/>
    </row>
    <row r="39" spans="1:13" ht="17.25" customHeight="1" thickTop="1">
      <c r="A39" s="1134">
        <f ca="1">TODAY()</f>
        <v>44231</v>
      </c>
      <c r="B39" s="1134"/>
      <c r="E39" s="554"/>
      <c r="F39" s="554"/>
      <c r="G39" s="554"/>
      <c r="H39" s="864" t="s">
        <v>1517</v>
      </c>
      <c r="J39" s="554"/>
    </row>
    <row r="40" spans="1:13">
      <c r="A40" s="567"/>
      <c r="B40" s="911"/>
      <c r="C40" s="570"/>
      <c r="D40" s="570"/>
      <c r="E40" s="570"/>
      <c r="F40" s="570"/>
      <c r="G40" s="570"/>
      <c r="H40" s="570"/>
      <c r="I40" s="569"/>
      <c r="J40" s="554"/>
    </row>
  </sheetData>
  <mergeCells count="3">
    <mergeCell ref="A1:I1"/>
    <mergeCell ref="A2:I2"/>
    <mergeCell ref="A39:B39"/>
  </mergeCells>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38"/>
  <sheetViews>
    <sheetView showZeros="0" topLeftCell="A19" zoomScale="130" zoomScaleNormal="130" zoomScaleSheetLayoutView="110" workbookViewId="0">
      <selection activeCell="M34" sqref="M34"/>
    </sheetView>
  </sheetViews>
  <sheetFormatPr defaultColWidth="9.140625" defaultRowHeight="12.75"/>
  <cols>
    <col min="1" max="1" width="3.5703125" style="460" customWidth="1"/>
    <col min="2" max="2" width="10.28515625" style="682" customWidth="1"/>
    <col min="3" max="3" width="10.7109375" style="416" customWidth="1"/>
    <col min="4" max="4" width="10.85546875" style="416" customWidth="1"/>
    <col min="5" max="5" width="13.85546875" style="416" customWidth="1"/>
    <col min="6" max="6" width="12" style="416" customWidth="1"/>
    <col min="7" max="7" width="11.42578125" style="416" customWidth="1"/>
    <col min="8" max="8" width="11.140625" style="416" customWidth="1"/>
    <col min="9" max="9" width="1.85546875" style="476" customWidth="1"/>
    <col min="10" max="10" width="3.42578125" style="416" customWidth="1"/>
    <col min="11" max="11" width="20.42578125" style="416" customWidth="1"/>
    <col min="12" max="12" width="13.28515625" style="416" customWidth="1"/>
    <col min="13" max="13" width="10.85546875" style="416" customWidth="1"/>
    <col min="14" max="14" width="11.28515625" style="416" customWidth="1"/>
    <col min="15" max="16" width="12" style="416" customWidth="1"/>
    <col min="17" max="16384" width="9.140625" style="416"/>
  </cols>
  <sheetData>
    <row r="1" spans="1:13" s="413" customFormat="1" ht="18.75" customHeight="1">
      <c r="A1" s="1143" t="s">
        <v>1601</v>
      </c>
      <c r="B1" s="1144"/>
      <c r="C1" s="1144"/>
      <c r="D1" s="1144"/>
      <c r="E1" s="1144"/>
      <c r="F1" s="1144"/>
      <c r="G1" s="1144"/>
      <c r="H1" s="1144"/>
      <c r="I1" s="1145"/>
    </row>
    <row r="2" spans="1:13" ht="18" customHeight="1" thickBot="1">
      <c r="A2" s="1111" t="s">
        <v>562</v>
      </c>
      <c r="B2" s="1112"/>
      <c r="C2" s="1112"/>
      <c r="D2" s="1112"/>
      <c r="E2" s="1112"/>
      <c r="F2" s="1112"/>
      <c r="G2" s="1112"/>
      <c r="H2" s="1112"/>
      <c r="I2" s="1113"/>
      <c r="K2" s="848" t="s">
        <v>1133</v>
      </c>
    </row>
    <row r="3" spans="1:13" ht="20.100000000000001" customHeight="1">
      <c r="A3" s="417"/>
      <c r="B3" s="852" t="s">
        <v>1506</v>
      </c>
      <c r="C3" s="419"/>
      <c r="D3" s="419"/>
      <c r="E3" s="419"/>
      <c r="F3" s="419"/>
      <c r="G3" s="419"/>
      <c r="H3" s="501" t="s">
        <v>1013</v>
      </c>
      <c r="I3" s="470"/>
      <c r="K3" s="416" t="s">
        <v>1602</v>
      </c>
      <c r="M3" s="416">
        <v>489600</v>
      </c>
    </row>
    <row r="4" spans="1:13" ht="15" customHeight="1">
      <c r="A4" s="420"/>
      <c r="B4" s="435"/>
      <c r="C4" s="422" t="s">
        <v>567</v>
      </c>
      <c r="D4" s="422"/>
      <c r="E4" s="431"/>
      <c r="F4" s="423"/>
      <c r="G4" s="411">
        <f>+M8</f>
        <v>746011</v>
      </c>
      <c r="H4" s="482"/>
      <c r="I4" s="471"/>
      <c r="K4" s="416" t="s">
        <v>1619</v>
      </c>
      <c r="M4" s="416">
        <v>42512</v>
      </c>
    </row>
    <row r="5" spans="1:13" ht="15" customHeight="1">
      <c r="A5" s="420"/>
      <c r="B5" s="408"/>
      <c r="C5" s="408" t="s">
        <v>1616</v>
      </c>
      <c r="D5" s="415"/>
      <c r="E5" s="415"/>
      <c r="F5" s="415"/>
      <c r="G5" s="523">
        <v>40000</v>
      </c>
      <c r="H5" s="482">
        <f>G4-G5</f>
        <v>706011</v>
      </c>
      <c r="I5" s="472"/>
      <c r="K5" s="416" t="s">
        <v>1603</v>
      </c>
      <c r="M5" s="416">
        <v>117504</v>
      </c>
    </row>
    <row r="6" spans="1:13" ht="15" customHeight="1">
      <c r="A6" s="420"/>
      <c r="B6" s="853" t="s">
        <v>1507</v>
      </c>
      <c r="C6" s="415"/>
      <c r="D6" s="415"/>
      <c r="E6" s="922"/>
      <c r="F6" s="423"/>
      <c r="G6" s="415"/>
      <c r="H6" s="482"/>
      <c r="I6" s="472"/>
      <c r="K6" s="416" t="s">
        <v>1604</v>
      </c>
      <c r="M6" s="415">
        <v>43184</v>
      </c>
    </row>
    <row r="7" spans="1:13" ht="15" customHeight="1">
      <c r="A7" s="420"/>
      <c r="B7" s="853"/>
      <c r="C7" s="583" t="s">
        <v>1164</v>
      </c>
      <c r="D7" s="422"/>
      <c r="E7" s="672"/>
      <c r="F7" s="679"/>
      <c r="G7" s="411"/>
      <c r="H7" s="482"/>
      <c r="I7" s="472"/>
      <c r="K7" s="416" t="s">
        <v>1629</v>
      </c>
      <c r="L7" s="749">
        <v>0.1</v>
      </c>
      <c r="M7" s="681">
        <f>ROUND((M3+M4)*0.1,0)</f>
        <v>53211</v>
      </c>
    </row>
    <row r="8" spans="1:13" ht="15" customHeight="1">
      <c r="A8" s="420"/>
      <c r="B8" s="583"/>
      <c r="C8" s="7" t="s">
        <v>1505</v>
      </c>
      <c r="D8" s="415"/>
      <c r="E8" s="855"/>
      <c r="F8" s="882"/>
      <c r="G8" s="523"/>
      <c r="H8" s="482"/>
      <c r="I8" s="472"/>
      <c r="M8" s="416">
        <f>SUM(M3:M7)</f>
        <v>746011</v>
      </c>
    </row>
    <row r="9" spans="1:13" ht="20.100000000000001" customHeight="1">
      <c r="A9" s="420"/>
      <c r="B9" s="435" t="s">
        <v>1508</v>
      </c>
      <c r="C9" s="415"/>
      <c r="D9" s="415"/>
      <c r="E9" s="415"/>
      <c r="F9" s="415"/>
      <c r="G9" s="415"/>
      <c r="H9" s="482"/>
      <c r="I9" s="471"/>
      <c r="K9" s="416" t="s">
        <v>1630</v>
      </c>
      <c r="M9" s="681">
        <v>40000</v>
      </c>
    </row>
    <row r="10" spans="1:13" ht="15.75" customHeight="1">
      <c r="A10" s="420"/>
      <c r="B10" s="435"/>
      <c r="C10" s="422" t="s">
        <v>1247</v>
      </c>
      <c r="D10" s="415"/>
      <c r="E10" s="415"/>
      <c r="F10" s="415"/>
      <c r="G10" s="411"/>
      <c r="H10" s="482"/>
      <c r="I10" s="471"/>
    </row>
    <row r="11" spans="1:13" ht="13.5">
      <c r="A11" s="420"/>
      <c r="B11" s="903"/>
      <c r="C11" s="422"/>
      <c r="D11" s="847"/>
      <c r="E11" s="881"/>
      <c r="F11" s="408"/>
      <c r="G11" s="462"/>
      <c r="H11" s="482"/>
      <c r="I11" s="471"/>
    </row>
    <row r="12" spans="1:13" ht="15" customHeight="1">
      <c r="A12" s="420"/>
      <c r="B12" s="855"/>
      <c r="C12" s="431"/>
      <c r="D12" s="434"/>
      <c r="E12" s="433"/>
      <c r="F12" s="433"/>
      <c r="G12" s="480">
        <f>SUM(G11:G11)</f>
        <v>0</v>
      </c>
      <c r="H12" s="482"/>
      <c r="I12" s="471"/>
    </row>
    <row r="13" spans="1:13" ht="15" customHeight="1">
      <c r="A13" s="420"/>
      <c r="B13" s="855"/>
      <c r="C13" s="415"/>
      <c r="D13" s="415"/>
      <c r="E13" s="415"/>
      <c r="F13" s="415"/>
      <c r="G13" s="437"/>
      <c r="H13" s="482">
        <f>+G12</f>
        <v>0</v>
      </c>
      <c r="I13" s="472"/>
    </row>
    <row r="14" spans="1:13" ht="15" customHeight="1">
      <c r="A14" s="420"/>
      <c r="B14" s="653"/>
      <c r="C14" s="435"/>
      <c r="D14" s="436"/>
      <c r="E14" s="415"/>
      <c r="F14" s="444"/>
      <c r="G14" s="437"/>
      <c r="H14" s="484"/>
      <c r="I14" s="534"/>
    </row>
    <row r="15" spans="1:13" ht="15" customHeight="1">
      <c r="A15" s="420"/>
      <c r="B15" s="435" t="s">
        <v>501</v>
      </c>
      <c r="C15" s="415"/>
      <c r="D15" s="415"/>
      <c r="E15" s="428"/>
      <c r="F15" s="428"/>
      <c r="G15" s="424"/>
      <c r="H15" s="485">
        <f>SUM(H5:H13)</f>
        <v>706011</v>
      </c>
      <c r="I15" s="472"/>
    </row>
    <row r="16" spans="1:13" ht="15" customHeight="1">
      <c r="A16" s="420" t="s">
        <v>1275</v>
      </c>
      <c r="B16" s="590" t="s">
        <v>1509</v>
      </c>
      <c r="C16" s="415"/>
      <c r="D16" s="415"/>
      <c r="E16" s="415"/>
      <c r="F16" s="415"/>
      <c r="G16" s="415"/>
      <c r="H16" s="482"/>
      <c r="I16" s="471"/>
    </row>
    <row r="17" spans="1:13" ht="15" customHeight="1">
      <c r="A17" s="420"/>
      <c r="B17" s="680"/>
      <c r="C17" s="449" t="s">
        <v>1512</v>
      </c>
      <c r="D17" s="415"/>
      <c r="E17" s="415"/>
      <c r="F17" s="415"/>
      <c r="G17" s="423"/>
      <c r="H17" s="482"/>
      <c r="I17" s="471"/>
      <c r="K17" s="416" t="s">
        <v>1631</v>
      </c>
      <c r="L17" s="416">
        <v>53211</v>
      </c>
    </row>
    <row r="18" spans="1:13" ht="15" customHeight="1">
      <c r="A18" s="420"/>
      <c r="B18" s="680"/>
      <c r="C18" s="697" t="s">
        <v>509</v>
      </c>
      <c r="D18" s="415"/>
      <c r="E18" s="415"/>
      <c r="F18" s="411">
        <f>+L18</f>
        <v>100000</v>
      </c>
      <c r="G18" s="423"/>
      <c r="H18" s="482"/>
      <c r="I18" s="471"/>
      <c r="K18" s="416" t="s">
        <v>1632</v>
      </c>
      <c r="L18" s="416">
        <v>100000</v>
      </c>
    </row>
    <row r="19" spans="1:13" ht="15" customHeight="1">
      <c r="A19" s="420"/>
      <c r="B19" s="680"/>
      <c r="C19" s="697" t="s">
        <v>1215</v>
      </c>
      <c r="D19" s="415"/>
      <c r="E19" s="415"/>
      <c r="F19" s="411">
        <f>+L19</f>
        <v>48000</v>
      </c>
      <c r="G19" s="423"/>
      <c r="H19" s="482"/>
      <c r="I19" s="471"/>
      <c r="K19" s="416" t="s">
        <v>1215</v>
      </c>
      <c r="L19" s="416">
        <v>48000</v>
      </c>
    </row>
    <row r="20" spans="1:13" ht="15" customHeight="1">
      <c r="A20" s="420"/>
      <c r="B20" s="680"/>
      <c r="C20" s="431"/>
      <c r="D20" s="415"/>
      <c r="E20" s="415"/>
      <c r="F20" s="936">
        <f>SUM(F18:F19)</f>
        <v>148000</v>
      </c>
      <c r="G20" s="415"/>
      <c r="H20" s="482"/>
      <c r="I20" s="471"/>
    </row>
    <row r="21" spans="1:13" ht="15" customHeight="1">
      <c r="A21" s="420"/>
      <c r="B21" s="680"/>
      <c r="C21" s="449" t="s">
        <v>1633</v>
      </c>
      <c r="D21" s="415"/>
      <c r="E21" s="415"/>
      <c r="F21" s="681">
        <v>3211</v>
      </c>
      <c r="G21" s="411">
        <f>150000</f>
        <v>150000</v>
      </c>
      <c r="H21" s="482"/>
      <c r="I21" s="471"/>
    </row>
    <row r="22" spans="1:13" ht="15" customHeight="1">
      <c r="A22" s="420"/>
      <c r="B22" s="680"/>
      <c r="C22" s="449" t="s">
        <v>1634</v>
      </c>
      <c r="D22" s="415"/>
      <c r="E22" s="415"/>
      <c r="F22" s="450"/>
      <c r="G22" s="411">
        <v>50000</v>
      </c>
      <c r="H22" s="482"/>
      <c r="I22" s="471"/>
    </row>
    <row r="23" spans="1:13" ht="15" customHeight="1">
      <c r="A23" s="420"/>
      <c r="B23" s="680"/>
      <c r="C23" s="449" t="s">
        <v>1635</v>
      </c>
      <c r="D23" s="415"/>
      <c r="E23" s="415"/>
      <c r="F23" s="450"/>
      <c r="G23" s="411">
        <f>+L17</f>
        <v>53211</v>
      </c>
      <c r="H23" s="482"/>
      <c r="I23" s="471"/>
    </row>
    <row r="24" spans="1:13" ht="15" customHeight="1">
      <c r="A24" s="420"/>
      <c r="B24" s="680"/>
      <c r="C24" s="449" t="s">
        <v>979</v>
      </c>
      <c r="D24" s="857"/>
      <c r="E24" s="428"/>
      <c r="F24" s="428"/>
      <c r="G24" s="447"/>
      <c r="H24" s="482"/>
      <c r="I24" s="471"/>
    </row>
    <row r="25" spans="1:13">
      <c r="A25" s="420"/>
      <c r="B25" s="408"/>
      <c r="H25" s="482">
        <f>SUM(G20:G24)</f>
        <v>253211</v>
      </c>
      <c r="I25" s="472"/>
    </row>
    <row r="26" spans="1:13" ht="15.75" customHeight="1" thickBot="1">
      <c r="A26" s="420"/>
      <c r="B26" s="856" t="s">
        <v>777</v>
      </c>
      <c r="C26" s="415"/>
      <c r="D26" s="415"/>
      <c r="E26" s="452">
        <f>IF((H15-H25)&lt;0,0,(H15-H25))</f>
        <v>452800</v>
      </c>
      <c r="F26" s="453" t="s">
        <v>1617</v>
      </c>
      <c r="G26" s="440"/>
      <c r="H26" s="486">
        <f>ROUND((E26/10),0)*10</f>
        <v>452800</v>
      </c>
      <c r="I26" s="475"/>
      <c r="L26" s="685"/>
      <c r="M26" s="685"/>
    </row>
    <row r="27" spans="1:13" ht="21.75" customHeight="1" thickTop="1">
      <c r="A27" s="420"/>
      <c r="B27" s="449" t="s">
        <v>778</v>
      </c>
      <c r="C27" s="415"/>
      <c r="D27" s="415"/>
      <c r="E27" s="931" t="s">
        <v>521</v>
      </c>
      <c r="F27" s="932"/>
      <c r="G27" s="931" t="s">
        <v>524</v>
      </c>
      <c r="H27" s="913">
        <f>+G28</f>
        <v>10140</v>
      </c>
      <c r="I27" s="471"/>
      <c r="K27" s="935" t="s">
        <v>1028</v>
      </c>
      <c r="L27" s="935" t="s">
        <v>1374</v>
      </c>
    </row>
    <row r="28" spans="1:13" ht="15" hidden="1" customHeight="1">
      <c r="A28" s="420"/>
      <c r="B28" s="912">
        <v>21568</v>
      </c>
      <c r="C28" s="467"/>
      <c r="D28" s="408" t="s">
        <v>1574</v>
      </c>
      <c r="E28" s="455">
        <f>H26-E30-E29</f>
        <v>452800</v>
      </c>
      <c r="F28" s="456"/>
      <c r="G28" s="415">
        <f>IF(+C28="Sr Citizen",ROUND(IF(E28&gt;1000000,(((E28-1000000)*0.3)+110000),IF(E28&gt;500000,(((E28-500000)*0.2)+10000),IF(E28&gt;300000,((E28-300000)*0.05),0))),0),ROUND(IF(E28&gt;1000000,(((E28-1000000)*0.3)+112500),IF(E28&gt;500000,(((E28-500000)*0.2)+12500),IF(E28&gt;250000,((E28-250000)*0.05),0))),0))</f>
        <v>10140</v>
      </c>
      <c r="H28" s="487"/>
      <c r="I28" s="471"/>
      <c r="K28" s="766"/>
    </row>
    <row r="29" spans="1:13" ht="15" hidden="1" customHeight="1">
      <c r="A29" s="420"/>
      <c r="B29" s="883"/>
      <c r="C29" s="467"/>
      <c r="D29" s="408" t="s">
        <v>1563</v>
      </c>
      <c r="E29" s="455"/>
      <c r="F29" s="678"/>
      <c r="G29" s="415">
        <f>ROUND(E29*F29,0)</f>
        <v>0</v>
      </c>
      <c r="H29" s="487"/>
      <c r="I29" s="471"/>
      <c r="K29" s="935"/>
    </row>
    <row r="30" spans="1:13" ht="18.75" customHeight="1">
      <c r="A30" s="420"/>
      <c r="B30" s="929" t="s">
        <v>1620</v>
      </c>
      <c r="D30" s="408"/>
      <c r="E30" s="753"/>
      <c r="F30" s="678"/>
      <c r="H30" s="528">
        <f>IF(H26&gt;350000,0,IF(G28&gt;2500,2500,G28))</f>
        <v>0</v>
      </c>
      <c r="I30" s="473"/>
      <c r="K30" s="935" t="s">
        <v>1636</v>
      </c>
      <c r="L30" s="749">
        <v>0.05</v>
      </c>
      <c r="M30" s="416">
        <f>ROUND((H26-250000)*0.05,0)</f>
        <v>10140</v>
      </c>
    </row>
    <row r="31" spans="1:13" ht="15" hidden="1" customHeight="1">
      <c r="A31" s="420"/>
      <c r="B31" s="601" t="s">
        <v>1564</v>
      </c>
      <c r="C31" s="524"/>
      <c r="D31" s="678"/>
      <c r="E31" s="753"/>
      <c r="G31" s="538"/>
      <c r="H31" s="696"/>
      <c r="I31" s="473"/>
    </row>
    <row r="32" spans="1:13" ht="15" customHeight="1">
      <c r="A32" s="420"/>
      <c r="B32" s="449" t="s">
        <v>1243</v>
      </c>
      <c r="C32" s="524"/>
      <c r="D32" s="415"/>
      <c r="E32" s="753"/>
      <c r="F32" s="754"/>
      <c r="G32" s="526"/>
      <c r="H32" s="489">
        <f>H27-H30</f>
        <v>10140</v>
      </c>
      <c r="I32" s="472"/>
      <c r="L32" s="685"/>
    </row>
    <row r="33" spans="1:13" ht="15" customHeight="1">
      <c r="A33" s="420"/>
      <c r="B33" s="408" t="s">
        <v>1614</v>
      </c>
      <c r="C33" s="415"/>
      <c r="D33" s="456"/>
      <c r="E33" s="428"/>
      <c r="F33" s="415"/>
      <c r="G33" s="428"/>
      <c r="H33" s="489">
        <f>H32*0.03</f>
        <v>304.2</v>
      </c>
      <c r="I33" s="472"/>
    </row>
    <row r="34" spans="1:13" ht="15" customHeight="1">
      <c r="A34" s="925"/>
      <c r="B34" s="683" t="s">
        <v>1615</v>
      </c>
      <c r="C34" s="681"/>
      <c r="D34" s="926"/>
      <c r="E34" s="927"/>
      <c r="F34" s="681"/>
      <c r="G34" s="928"/>
      <c r="H34" s="528">
        <f>ROUND((H32)*0.01,0)</f>
        <v>101</v>
      </c>
      <c r="I34" s="474"/>
      <c r="K34" s="416" t="s">
        <v>1641</v>
      </c>
      <c r="M34" s="890" t="s">
        <v>1639</v>
      </c>
    </row>
    <row r="35" spans="1:13" ht="18" customHeight="1" thickBot="1">
      <c r="A35" s="914"/>
      <c r="B35" s="915" t="s">
        <v>565</v>
      </c>
      <c r="C35" s="916"/>
      <c r="D35" s="917"/>
      <c r="E35" s="918"/>
      <c r="F35" s="924" t="s">
        <v>1618</v>
      </c>
      <c r="G35" s="919"/>
      <c r="H35" s="920">
        <f>SUM(H32:H34)</f>
        <v>10545.2</v>
      </c>
      <c r="I35" s="921"/>
      <c r="K35" s="416" t="s">
        <v>1638</v>
      </c>
      <c r="M35" s="890" t="s">
        <v>1640</v>
      </c>
    </row>
    <row r="36" spans="1:13" ht="18" hidden="1" customHeight="1" thickTop="1">
      <c r="A36" s="808"/>
      <c r="B36" s="899"/>
      <c r="C36" s="809"/>
      <c r="D36" s="752"/>
      <c r="E36" s="428"/>
      <c r="G36" s="894"/>
      <c r="H36" s="811"/>
      <c r="I36" s="810"/>
      <c r="M36" s="937"/>
    </row>
    <row r="37" spans="1:13" ht="17.25" customHeight="1" thickTop="1">
      <c r="A37" s="1134">
        <f ca="1">TODAY()</f>
        <v>44231</v>
      </c>
      <c r="B37" s="1134"/>
      <c r="E37" s="554"/>
      <c r="F37" s="554"/>
      <c r="G37" s="554"/>
      <c r="H37" s="864" t="s">
        <v>1517</v>
      </c>
      <c r="J37" s="554"/>
      <c r="K37" s="416" t="s">
        <v>1637</v>
      </c>
      <c r="M37" s="938">
        <f>H35/G4</f>
        <v>1.4135448404916283E-2</v>
      </c>
    </row>
    <row r="38" spans="1:13">
      <c r="A38" s="567"/>
      <c r="B38" s="911"/>
      <c r="C38" s="570"/>
      <c r="D38" s="570"/>
      <c r="E38" s="570"/>
      <c r="F38" s="570"/>
      <c r="G38" s="570"/>
      <c r="H38" s="570"/>
      <c r="I38" s="569"/>
      <c r="J38" s="554"/>
    </row>
  </sheetData>
  <mergeCells count="3">
    <mergeCell ref="A37:B37"/>
    <mergeCell ref="A1:I1"/>
    <mergeCell ref="A2:I2"/>
  </mergeCells>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43"/>
  <sheetViews>
    <sheetView showZeros="0" topLeftCell="A22" zoomScale="130" zoomScaleNormal="130" zoomScaleSheetLayoutView="110" workbookViewId="0">
      <selection activeCell="H39" sqref="H39"/>
    </sheetView>
  </sheetViews>
  <sheetFormatPr defaultColWidth="9.140625" defaultRowHeight="12.75"/>
  <cols>
    <col min="1" max="1" width="3.5703125" style="460" customWidth="1"/>
    <col min="2" max="2" width="10.28515625" style="682" customWidth="1"/>
    <col min="3" max="3" width="10.7109375" style="416" customWidth="1"/>
    <col min="4" max="4" width="10.85546875" style="416" customWidth="1"/>
    <col min="5" max="5" width="13.85546875" style="416" customWidth="1"/>
    <col min="6" max="6" width="12" style="416" customWidth="1"/>
    <col min="7" max="7" width="11.42578125" style="416" customWidth="1"/>
    <col min="8" max="8" width="11.140625" style="416" customWidth="1"/>
    <col min="9" max="9" width="1.85546875" style="476" customWidth="1"/>
    <col min="10" max="10" width="3.42578125" style="416" customWidth="1"/>
    <col min="11" max="11" width="20.42578125" style="416" customWidth="1"/>
    <col min="12" max="12" width="13.28515625" style="416" customWidth="1"/>
    <col min="13" max="13" width="10.85546875" style="416" customWidth="1"/>
    <col min="14" max="14" width="11.28515625" style="416" customWidth="1"/>
    <col min="15" max="16" width="12" style="416" customWidth="1"/>
    <col min="17" max="16384" width="9.140625" style="416"/>
  </cols>
  <sheetData>
    <row r="1" spans="1:13" s="413" customFormat="1" ht="18.75" customHeight="1">
      <c r="A1" s="1143" t="s">
        <v>1621</v>
      </c>
      <c r="B1" s="1144"/>
      <c r="C1" s="1144"/>
      <c r="D1" s="1144"/>
      <c r="E1" s="1144"/>
      <c r="F1" s="1144"/>
      <c r="G1" s="1144"/>
      <c r="H1" s="1144"/>
      <c r="I1" s="1145"/>
    </row>
    <row r="2" spans="1:13" ht="18" customHeight="1" thickBot="1">
      <c r="A2" s="1111" t="s">
        <v>562</v>
      </c>
      <c r="B2" s="1112"/>
      <c r="C2" s="1112"/>
      <c r="D2" s="1112"/>
      <c r="E2" s="1112"/>
      <c r="F2" s="1112"/>
      <c r="G2" s="1112"/>
      <c r="H2" s="1112"/>
      <c r="I2" s="1113"/>
      <c r="K2" s="848" t="s">
        <v>1133</v>
      </c>
    </row>
    <row r="3" spans="1:13" ht="20.100000000000001" customHeight="1">
      <c r="A3" s="417"/>
      <c r="B3" s="852" t="s">
        <v>1506</v>
      </c>
      <c r="C3" s="419"/>
      <c r="D3" s="419"/>
      <c r="E3" s="419"/>
      <c r="F3" s="419"/>
      <c r="G3" s="419"/>
      <c r="H3" s="501" t="s">
        <v>1013</v>
      </c>
      <c r="I3" s="470"/>
      <c r="K3" s="416" t="s">
        <v>1602</v>
      </c>
      <c r="M3" s="416">
        <f>426549-31419</f>
        <v>395130</v>
      </c>
    </row>
    <row r="4" spans="1:13" ht="15" customHeight="1">
      <c r="A4" s="420"/>
      <c r="B4" s="435"/>
      <c r="C4" s="422" t="s">
        <v>567</v>
      </c>
      <c r="D4" s="422"/>
      <c r="E4" s="431"/>
      <c r="F4" s="423"/>
      <c r="G4" s="411">
        <v>399069</v>
      </c>
      <c r="H4" s="482"/>
      <c r="I4" s="471"/>
      <c r="K4" s="416" t="s">
        <v>1629</v>
      </c>
      <c r="L4" s="749">
        <v>0.1</v>
      </c>
      <c r="M4" s="681">
        <v>31419</v>
      </c>
    </row>
    <row r="5" spans="1:13" ht="15" customHeight="1">
      <c r="A5" s="420"/>
      <c r="B5" s="899">
        <v>27480</v>
      </c>
      <c r="C5" s="408" t="s">
        <v>1647</v>
      </c>
      <c r="D5" s="415"/>
      <c r="E5" s="415"/>
      <c r="F5" s="415"/>
      <c r="G5" s="923"/>
      <c r="H5" s="482">
        <f>G4-G5</f>
        <v>399069</v>
      </c>
      <c r="I5" s="472"/>
      <c r="M5" s="416">
        <f>M3+M4</f>
        <v>426549</v>
      </c>
    </row>
    <row r="6" spans="1:13" ht="15" customHeight="1">
      <c r="A6" s="420"/>
      <c r="B6" s="853" t="s">
        <v>1507</v>
      </c>
      <c r="C6" s="415"/>
      <c r="D6" s="415"/>
      <c r="E6" s="922"/>
      <c r="F6" s="423"/>
      <c r="G6" s="415"/>
      <c r="H6" s="482"/>
      <c r="I6" s="472"/>
      <c r="K6" s="416" t="s">
        <v>1648</v>
      </c>
      <c r="L6" s="415">
        <v>16400</v>
      </c>
      <c r="M6" s="415"/>
    </row>
    <row r="7" spans="1:13" ht="15" customHeight="1">
      <c r="A7" s="420"/>
      <c r="B7" s="853"/>
      <c r="C7" s="583" t="s">
        <v>1164</v>
      </c>
      <c r="D7" s="422"/>
      <c r="E7" s="672"/>
      <c r="F7" s="679"/>
      <c r="G7" s="411"/>
      <c r="H7" s="482"/>
      <c r="I7" s="472"/>
      <c r="K7" s="416" t="s">
        <v>1649</v>
      </c>
      <c r="L7" s="681">
        <v>11080</v>
      </c>
      <c r="M7" s="681">
        <f>L6+L7</f>
        <v>27480</v>
      </c>
    </row>
    <row r="8" spans="1:13" ht="15" customHeight="1" thickBot="1">
      <c r="A8" s="420"/>
      <c r="B8" s="583"/>
      <c r="C8" s="7" t="s">
        <v>1505</v>
      </c>
      <c r="D8" s="415"/>
      <c r="E8" s="855"/>
      <c r="F8" s="882"/>
      <c r="G8" s="523"/>
      <c r="H8" s="482"/>
      <c r="I8" s="472"/>
      <c r="L8" s="415"/>
      <c r="M8" s="943">
        <f>M5-M7</f>
        <v>399069</v>
      </c>
    </row>
    <row r="9" spans="1:13" ht="20.100000000000001" customHeight="1">
      <c r="A9" s="420"/>
      <c r="B9" s="435" t="s">
        <v>1508</v>
      </c>
      <c r="C9" s="415"/>
      <c r="D9" s="415"/>
      <c r="E9" s="415"/>
      <c r="F9" s="415"/>
      <c r="G9" s="415"/>
      <c r="H9" s="482"/>
      <c r="I9" s="471"/>
      <c r="K9" s="416" t="s">
        <v>1650</v>
      </c>
      <c r="L9" s="416">
        <f>M5-M7</f>
        <v>399069</v>
      </c>
    </row>
    <row r="10" spans="1:13" ht="15.75" customHeight="1">
      <c r="A10" s="420"/>
      <c r="B10" s="899">
        <v>2000</v>
      </c>
      <c r="C10" s="422" t="s">
        <v>1247</v>
      </c>
      <c r="D10" s="415"/>
      <c r="E10" s="415"/>
      <c r="F10" s="415"/>
      <c r="G10" s="411"/>
      <c r="H10" s="482"/>
      <c r="I10" s="471"/>
    </row>
    <row r="11" spans="1:13" ht="15.75" customHeight="1">
      <c r="A11" s="420"/>
      <c r="B11" s="899">
        <v>10190</v>
      </c>
      <c r="C11" s="422" t="s">
        <v>1651</v>
      </c>
      <c r="D11" s="415"/>
      <c r="E11" s="415"/>
      <c r="F11" s="415"/>
      <c r="G11" s="953">
        <v>3299</v>
      </c>
      <c r="H11" s="482"/>
      <c r="I11" s="471"/>
    </row>
    <row r="12" spans="1:13" ht="15.75" customHeight="1">
      <c r="A12" s="420"/>
      <c r="B12" s="899">
        <v>215</v>
      </c>
      <c r="C12" s="422" t="s">
        <v>1652</v>
      </c>
      <c r="D12" s="415"/>
      <c r="E12" s="415"/>
      <c r="F12" s="415"/>
      <c r="G12" s="953"/>
      <c r="H12" s="482"/>
      <c r="I12" s="471"/>
    </row>
    <row r="13" spans="1:13" ht="13.5">
      <c r="A13" s="420"/>
      <c r="B13" s="903"/>
      <c r="D13" s="847"/>
      <c r="E13" s="881"/>
      <c r="F13" s="408"/>
      <c r="G13" s="462"/>
      <c r="H13" s="482"/>
      <c r="I13" s="471"/>
    </row>
    <row r="14" spans="1:13" ht="15" customHeight="1">
      <c r="A14" s="420"/>
      <c r="B14" s="855"/>
      <c r="C14" s="431"/>
      <c r="D14" s="434"/>
      <c r="E14" s="433"/>
      <c r="F14" s="433"/>
      <c r="G14" s="480">
        <f>SUM(G10:G13)</f>
        <v>3299</v>
      </c>
      <c r="H14" s="482"/>
      <c r="I14" s="471"/>
    </row>
    <row r="15" spans="1:13" ht="15" customHeight="1">
      <c r="A15" s="420"/>
      <c r="B15" s="855"/>
      <c r="C15" s="415"/>
      <c r="D15" s="415"/>
      <c r="E15" s="415"/>
      <c r="F15" s="415"/>
      <c r="G15" s="437"/>
      <c r="H15" s="482">
        <f>+G14</f>
        <v>3299</v>
      </c>
      <c r="I15" s="472"/>
    </row>
    <row r="16" spans="1:13" ht="15" customHeight="1">
      <c r="A16" s="420"/>
      <c r="B16" s="653"/>
      <c r="C16" s="435"/>
      <c r="D16" s="436"/>
      <c r="E16" s="415"/>
      <c r="F16" s="444"/>
      <c r="G16" s="437"/>
      <c r="H16" s="484"/>
      <c r="I16" s="534"/>
    </row>
    <row r="17" spans="1:13" ht="15" customHeight="1">
      <c r="A17" s="420"/>
      <c r="B17" s="435" t="s">
        <v>501</v>
      </c>
      <c r="C17" s="415"/>
      <c r="D17" s="415"/>
      <c r="E17" s="428"/>
      <c r="F17" s="428"/>
      <c r="G17" s="424"/>
      <c r="H17" s="485">
        <f>SUM(H5:H15)</f>
        <v>402368</v>
      </c>
      <c r="I17" s="472"/>
    </row>
    <row r="18" spans="1:13" ht="15" customHeight="1">
      <c r="A18" s="420" t="s">
        <v>1275</v>
      </c>
      <c r="B18" s="590" t="s">
        <v>1509</v>
      </c>
      <c r="C18" s="415"/>
      <c r="D18" s="415"/>
      <c r="E18" s="415"/>
      <c r="F18" s="415"/>
      <c r="G18" s="415"/>
      <c r="H18" s="482"/>
      <c r="I18" s="471"/>
    </row>
    <row r="19" spans="1:13" ht="15" customHeight="1">
      <c r="A19" s="420"/>
      <c r="B19" s="680"/>
      <c r="C19" s="449" t="s">
        <v>1512</v>
      </c>
      <c r="D19" s="415"/>
      <c r="E19" s="415"/>
      <c r="F19" s="415"/>
      <c r="G19" s="423"/>
      <c r="H19" s="482"/>
      <c r="I19" s="471"/>
    </row>
    <row r="20" spans="1:13" ht="15" customHeight="1">
      <c r="A20" s="420"/>
      <c r="B20" s="680"/>
      <c r="C20" s="697" t="s">
        <v>1658</v>
      </c>
      <c r="D20" s="415"/>
      <c r="E20" s="415"/>
      <c r="F20" s="411">
        <v>34432</v>
      </c>
      <c r="G20" s="423"/>
      <c r="H20" s="482"/>
      <c r="I20" s="471"/>
    </row>
    <row r="21" spans="1:13" ht="15" customHeight="1">
      <c r="A21" s="420"/>
      <c r="B21" s="680"/>
      <c r="C21" s="697" t="s">
        <v>1657</v>
      </c>
      <c r="D21" s="415"/>
      <c r="E21" s="415"/>
      <c r="F21" s="411">
        <v>50000</v>
      </c>
      <c r="G21" s="423"/>
      <c r="H21" s="482"/>
      <c r="I21" s="471"/>
    </row>
    <row r="22" spans="1:13" ht="15" customHeight="1">
      <c r="A22" s="420"/>
      <c r="B22" s="680"/>
      <c r="C22" s="697" t="s">
        <v>984</v>
      </c>
      <c r="D22" s="415"/>
      <c r="E22" s="415"/>
      <c r="F22" s="411">
        <v>360</v>
      </c>
      <c r="G22" s="423"/>
      <c r="H22" s="482"/>
      <c r="I22" s="471"/>
    </row>
    <row r="23" spans="1:13" ht="15" customHeight="1">
      <c r="A23" s="420"/>
      <c r="B23" s="680"/>
      <c r="C23" s="431"/>
      <c r="D23" s="415"/>
      <c r="E23" s="415"/>
      <c r="F23" s="936">
        <f>SUM(F20:F22)</f>
        <v>84792</v>
      </c>
      <c r="G23" s="415"/>
      <c r="H23" s="482"/>
      <c r="I23" s="471"/>
    </row>
    <row r="24" spans="1:13" ht="15" customHeight="1">
      <c r="A24" s="420"/>
      <c r="B24" s="680"/>
      <c r="C24" s="449" t="s">
        <v>1633</v>
      </c>
      <c r="D24" s="415"/>
      <c r="E24" s="415" t="s">
        <v>1149</v>
      </c>
      <c r="F24" s="681">
        <v>31419</v>
      </c>
      <c r="G24" s="411">
        <f>F23+F24</f>
        <v>116211</v>
      </c>
      <c r="H24" s="482"/>
      <c r="I24" s="471"/>
    </row>
    <row r="25" spans="1:13" ht="15" customHeight="1">
      <c r="A25" s="420"/>
      <c r="B25" s="680"/>
      <c r="C25" s="449" t="s">
        <v>1635</v>
      </c>
      <c r="D25" s="415"/>
      <c r="E25" s="415" t="s">
        <v>1149</v>
      </c>
      <c r="F25" s="450"/>
      <c r="G25" s="411">
        <v>31419</v>
      </c>
      <c r="H25" s="482"/>
      <c r="I25" s="471"/>
    </row>
    <row r="26" spans="1:13" ht="15" customHeight="1">
      <c r="A26" s="420"/>
      <c r="B26" s="680"/>
      <c r="C26" s="449" t="s">
        <v>979</v>
      </c>
      <c r="D26" s="857"/>
      <c r="E26" s="428"/>
      <c r="F26" s="428"/>
      <c r="G26" s="447">
        <v>2000</v>
      </c>
      <c r="H26" s="482"/>
      <c r="I26" s="471"/>
    </row>
    <row r="27" spans="1:13">
      <c r="A27" s="420"/>
      <c r="B27" s="408"/>
      <c r="H27" s="482">
        <f>SUM(G23:G26)</f>
        <v>149630</v>
      </c>
      <c r="I27" s="472"/>
    </row>
    <row r="28" spans="1:13" ht="15.75" customHeight="1" thickBot="1">
      <c r="A28" s="420"/>
      <c r="B28" s="856" t="s">
        <v>777</v>
      </c>
      <c r="C28" s="415"/>
      <c r="D28" s="415"/>
      <c r="E28" s="452">
        <f>IF((H17-H27)&lt;0,0,(H17-H27))</f>
        <v>252738</v>
      </c>
      <c r="F28" s="453" t="s">
        <v>1617</v>
      </c>
      <c r="G28" s="440"/>
      <c r="H28" s="486">
        <f>ROUND((E28/10),0)*10</f>
        <v>252740</v>
      </c>
      <c r="I28" s="475"/>
      <c r="L28" s="685"/>
      <c r="M28" s="685"/>
    </row>
    <row r="29" spans="1:13" ht="21.75" customHeight="1" thickTop="1">
      <c r="A29" s="420"/>
      <c r="B29" s="449" t="s">
        <v>778</v>
      </c>
      <c r="C29" s="415"/>
      <c r="D29" s="415"/>
      <c r="E29" s="931" t="s">
        <v>521</v>
      </c>
      <c r="F29" s="932"/>
      <c r="G29" s="931" t="s">
        <v>524</v>
      </c>
      <c r="H29" s="951">
        <f>+G30</f>
        <v>137</v>
      </c>
      <c r="I29" s="471"/>
      <c r="L29" s="685"/>
    </row>
    <row r="30" spans="1:13" ht="15" hidden="1" customHeight="1">
      <c r="A30" s="420"/>
      <c r="B30" s="912">
        <v>21568</v>
      </c>
      <c r="C30" s="467"/>
      <c r="D30" s="408" t="s">
        <v>1574</v>
      </c>
      <c r="E30" s="455">
        <f>H28-E32-E31</f>
        <v>252740</v>
      </c>
      <c r="F30" s="456"/>
      <c r="G30" s="415">
        <f>IF(+C30="Sr Citizen",ROUND(IF(E30&gt;1000000,(((E30-1000000)*0.3)+110000),IF(E30&gt;500000,(((E30-500000)*0.2)+10000),IF(E30&gt;300000,((E30-300000)*0.05),0))),0),ROUND(IF(E30&gt;1000000,(((E30-1000000)*0.3)+112500),IF(E30&gt;500000,(((E30-500000)*0.2)+12500),IF(E30&gt;250000,((E30-250000)*0.05),0))),0))</f>
        <v>137</v>
      </c>
      <c r="H30" s="946"/>
      <c r="I30" s="471"/>
      <c r="L30" s="685"/>
    </row>
    <row r="31" spans="1:13" ht="15" hidden="1" customHeight="1">
      <c r="A31" s="420"/>
      <c r="B31" s="883"/>
      <c r="C31" s="467"/>
      <c r="D31" s="408" t="s">
        <v>1563</v>
      </c>
      <c r="E31" s="455"/>
      <c r="F31" s="678"/>
      <c r="G31" s="415">
        <f>ROUND(E31*F31,0)</f>
        <v>0</v>
      </c>
      <c r="H31" s="946"/>
      <c r="I31" s="471"/>
      <c r="L31" s="685"/>
    </row>
    <row r="32" spans="1:13" ht="18.75" customHeight="1">
      <c r="A32" s="420"/>
      <c r="B32" s="945" t="s">
        <v>1653</v>
      </c>
      <c r="D32" s="408"/>
      <c r="E32" s="753"/>
      <c r="F32" s="678"/>
      <c r="H32" s="947">
        <f>IF(H28&gt;350000,0,IF(G30&gt;2500,2500,G30))</f>
        <v>137</v>
      </c>
      <c r="I32" s="473"/>
      <c r="L32" s="685"/>
    </row>
    <row r="33" spans="1:12" ht="15" hidden="1" customHeight="1">
      <c r="A33" s="420"/>
      <c r="B33" s="601" t="s">
        <v>1564</v>
      </c>
      <c r="C33" s="524"/>
      <c r="D33" s="678"/>
      <c r="E33" s="753"/>
      <c r="G33" s="538"/>
      <c r="H33" s="948"/>
      <c r="I33" s="473"/>
      <c r="L33" s="685"/>
    </row>
    <row r="34" spans="1:12" ht="15" customHeight="1">
      <c r="A34" s="420"/>
      <c r="B34" s="449" t="s">
        <v>1243</v>
      </c>
      <c r="C34" s="524"/>
      <c r="D34" s="415"/>
      <c r="E34" s="753"/>
      <c r="F34" s="754"/>
      <c r="G34" s="526"/>
      <c r="H34" s="949">
        <v>0</v>
      </c>
      <c r="I34" s="472"/>
      <c r="L34" s="685"/>
    </row>
    <row r="35" spans="1:12" ht="15" customHeight="1">
      <c r="A35" s="420"/>
      <c r="B35" s="408" t="s">
        <v>1614</v>
      </c>
      <c r="C35" s="415"/>
      <c r="D35" s="456"/>
      <c r="E35" s="428"/>
      <c r="F35" s="415"/>
      <c r="G35" s="428"/>
      <c r="H35" s="949">
        <v>0</v>
      </c>
      <c r="I35" s="472"/>
      <c r="L35" s="685"/>
    </row>
    <row r="36" spans="1:12" ht="15" customHeight="1">
      <c r="B36" s="408" t="s">
        <v>1654</v>
      </c>
      <c r="C36" s="415"/>
      <c r="D36" s="456"/>
      <c r="E36" s="458"/>
      <c r="F36" s="415"/>
      <c r="G36" s="428"/>
      <c r="H36" s="947">
        <v>1000</v>
      </c>
      <c r="I36" s="474"/>
      <c r="L36" s="685"/>
    </row>
    <row r="37" spans="1:12" ht="15" customHeight="1">
      <c r="A37" s="420"/>
      <c r="B37" s="408"/>
      <c r="C37" s="415"/>
      <c r="D37" s="456"/>
      <c r="E37" s="458"/>
      <c r="F37" s="415"/>
      <c r="G37" s="428"/>
      <c r="H37" s="950">
        <v>1000</v>
      </c>
      <c r="I37" s="944"/>
      <c r="L37" s="685"/>
    </row>
    <row r="38" spans="1:12" ht="15" customHeight="1">
      <c r="A38" s="420"/>
      <c r="B38" s="408" t="s">
        <v>1655</v>
      </c>
      <c r="C38" s="415"/>
      <c r="D38" s="456"/>
      <c r="E38" s="458"/>
      <c r="F38" s="415"/>
      <c r="G38" s="428"/>
      <c r="H38" s="950">
        <f>1844+1019</f>
        <v>2863</v>
      </c>
      <c r="I38" s="944"/>
      <c r="L38" s="685"/>
    </row>
    <row r="39" spans="1:12" ht="18" customHeight="1" thickBot="1">
      <c r="A39" s="914"/>
      <c r="B39" s="915" t="s">
        <v>1656</v>
      </c>
      <c r="C39" s="916"/>
      <c r="D39" s="917"/>
      <c r="E39" s="918"/>
      <c r="F39" s="924" t="s">
        <v>1618</v>
      </c>
      <c r="G39" s="919"/>
      <c r="H39" s="952">
        <f>H38-H37-3</f>
        <v>1860</v>
      </c>
      <c r="I39" s="475"/>
      <c r="L39" s="685"/>
    </row>
    <row r="40" spans="1:12" ht="18" hidden="1" customHeight="1" thickTop="1">
      <c r="A40" s="808"/>
      <c r="B40" s="899"/>
      <c r="C40" s="809"/>
      <c r="D40" s="752"/>
      <c r="E40" s="428"/>
      <c r="G40" s="894"/>
      <c r="H40" s="811"/>
      <c r="I40" s="810"/>
      <c r="L40" s="685"/>
    </row>
    <row r="41" spans="1:12" ht="17.25" customHeight="1" thickTop="1">
      <c r="A41" s="1134">
        <f ca="1">TODAY()</f>
        <v>44231</v>
      </c>
      <c r="B41" s="1134"/>
      <c r="E41" s="554"/>
      <c r="F41" s="554"/>
      <c r="G41" s="554"/>
      <c r="H41" s="864" t="s">
        <v>1517</v>
      </c>
      <c r="J41" s="554"/>
      <c r="L41" s="685"/>
    </row>
    <row r="42" spans="1:12">
      <c r="A42" s="567"/>
      <c r="B42" s="942"/>
      <c r="C42" s="570"/>
      <c r="D42" s="570"/>
      <c r="E42" s="570"/>
      <c r="F42" s="570"/>
      <c r="G42" s="570"/>
      <c r="H42" s="570"/>
      <c r="I42" s="569"/>
      <c r="J42" s="554"/>
      <c r="L42" s="685"/>
    </row>
    <row r="43" spans="1:12">
      <c r="L43" s="685"/>
    </row>
  </sheetData>
  <mergeCells count="3">
    <mergeCell ref="A1:I1"/>
    <mergeCell ref="A2:I2"/>
    <mergeCell ref="A41:B41"/>
  </mergeCells>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43"/>
  <sheetViews>
    <sheetView showZeros="0" topLeftCell="A7" zoomScale="130" zoomScaleNormal="130" zoomScaleSheetLayoutView="110" workbookViewId="0">
      <selection activeCell="L16" sqref="L16"/>
    </sheetView>
  </sheetViews>
  <sheetFormatPr defaultColWidth="9.140625" defaultRowHeight="12.75"/>
  <cols>
    <col min="1" max="1" width="3.5703125" style="460" customWidth="1"/>
    <col min="2" max="2" width="10.28515625" style="682" customWidth="1"/>
    <col min="3" max="3" width="10.7109375" style="416" customWidth="1"/>
    <col min="4" max="4" width="10.85546875" style="416" customWidth="1"/>
    <col min="5" max="5" width="13.85546875" style="416" customWidth="1"/>
    <col min="6" max="6" width="12" style="416" customWidth="1"/>
    <col min="7" max="7" width="11.42578125" style="416" customWidth="1"/>
    <col min="8" max="8" width="11.140625" style="416" customWidth="1"/>
    <col min="9" max="9" width="1.85546875" style="476" customWidth="1"/>
    <col min="10" max="10" width="3.42578125" style="416" customWidth="1"/>
    <col min="11" max="11" width="20.42578125" style="416" customWidth="1"/>
    <col min="12" max="12" width="13.28515625" style="416" customWidth="1"/>
    <col min="13" max="13" width="10.85546875" style="416" customWidth="1"/>
    <col min="14" max="14" width="11.28515625" style="416" customWidth="1"/>
    <col min="15" max="16" width="12" style="416" customWidth="1"/>
    <col min="17" max="16384" width="9.140625" style="416"/>
  </cols>
  <sheetData>
    <row r="1" spans="1:12" s="413" customFormat="1" ht="18.75" customHeight="1">
      <c r="A1" s="1143" t="s">
        <v>1621</v>
      </c>
      <c r="B1" s="1144"/>
      <c r="C1" s="1144"/>
      <c r="D1" s="1144"/>
      <c r="E1" s="1144"/>
      <c r="F1" s="1144"/>
      <c r="G1" s="1144"/>
      <c r="H1" s="1144"/>
      <c r="I1" s="1145"/>
    </row>
    <row r="2" spans="1:12" ht="18" customHeight="1" thickBot="1">
      <c r="A2" s="1111" t="s">
        <v>562</v>
      </c>
      <c r="B2" s="1112"/>
      <c r="C2" s="1112"/>
      <c r="D2" s="1112"/>
      <c r="E2" s="1112"/>
      <c r="F2" s="1112"/>
      <c r="G2" s="1112"/>
      <c r="H2" s="1112"/>
      <c r="I2" s="1113"/>
      <c r="K2" s="848" t="s">
        <v>1133</v>
      </c>
      <c r="L2" s="416">
        <f>L8+L12</f>
        <v>426549</v>
      </c>
    </row>
    <row r="3" spans="1:12" ht="20.100000000000001" customHeight="1">
      <c r="A3" s="417"/>
      <c r="B3" s="852" t="s">
        <v>1506</v>
      </c>
      <c r="C3" s="419"/>
      <c r="D3" s="419"/>
      <c r="E3" s="419"/>
      <c r="F3" s="419"/>
      <c r="G3" s="419"/>
      <c r="H3" s="501" t="s">
        <v>1013</v>
      </c>
      <c r="I3" s="470"/>
      <c r="K3" s="416" t="s">
        <v>1650</v>
      </c>
      <c r="L3" s="416">
        <v>300300</v>
      </c>
    </row>
    <row r="4" spans="1:12" ht="15" customHeight="1">
      <c r="A4" s="420"/>
      <c r="B4" s="435"/>
      <c r="C4" s="422" t="s">
        <v>567</v>
      </c>
      <c r="D4" s="422"/>
      <c r="E4" s="431"/>
      <c r="F4" s="423"/>
      <c r="G4" s="411">
        <f>+L2</f>
        <v>426549</v>
      </c>
      <c r="H4" s="482"/>
      <c r="I4" s="471"/>
      <c r="K4" s="416" t="s">
        <v>1659</v>
      </c>
      <c r="L4" s="416">
        <f>98769-31419</f>
        <v>67350</v>
      </c>
    </row>
    <row r="5" spans="1:12" ht="15" customHeight="1">
      <c r="A5" s="420"/>
      <c r="B5" s="899"/>
      <c r="C5" s="408" t="s">
        <v>1647</v>
      </c>
      <c r="D5" s="415"/>
      <c r="E5" s="415"/>
      <c r="F5" s="415"/>
      <c r="G5" s="923">
        <f>+L12</f>
        <v>27480</v>
      </c>
      <c r="H5" s="482">
        <f>G4-G5</f>
        <v>399069</v>
      </c>
      <c r="I5" s="472"/>
      <c r="K5" s="416" t="s">
        <v>1660</v>
      </c>
    </row>
    <row r="6" spans="1:12" ht="15" customHeight="1">
      <c r="A6" s="420"/>
      <c r="B6" s="853" t="s">
        <v>1507</v>
      </c>
      <c r="C6" s="415"/>
      <c r="D6" s="415"/>
      <c r="E6" s="922"/>
      <c r="F6" s="423"/>
      <c r="G6" s="415"/>
      <c r="H6" s="482"/>
      <c r="I6" s="472"/>
      <c r="K6" s="416" t="s">
        <v>1662</v>
      </c>
      <c r="L6" s="416">
        <v>31419</v>
      </c>
    </row>
    <row r="7" spans="1:12" ht="15" customHeight="1">
      <c r="A7" s="420"/>
      <c r="B7" s="853"/>
      <c r="C7" s="583" t="s">
        <v>1164</v>
      </c>
      <c r="D7" s="422"/>
      <c r="E7" s="672"/>
      <c r="F7" s="679"/>
      <c r="G7" s="411"/>
      <c r="H7" s="482"/>
      <c r="I7" s="472"/>
      <c r="K7" s="416" t="s">
        <v>1661</v>
      </c>
    </row>
    <row r="8" spans="1:12" ht="15" customHeight="1">
      <c r="A8" s="420"/>
      <c r="B8" s="583"/>
      <c r="C8" s="7" t="s">
        <v>1505</v>
      </c>
      <c r="D8" s="415"/>
      <c r="E8" s="855"/>
      <c r="F8" s="882"/>
      <c r="G8" s="523"/>
      <c r="H8" s="482"/>
      <c r="I8" s="472"/>
      <c r="L8" s="954">
        <f>SUM(L3:L7)</f>
        <v>399069</v>
      </c>
    </row>
    <row r="9" spans="1:12" ht="20.100000000000001" customHeight="1">
      <c r="A9" s="420"/>
      <c r="B9" s="435" t="s">
        <v>1508</v>
      </c>
      <c r="C9" s="415"/>
      <c r="D9" s="415"/>
      <c r="E9" s="415"/>
      <c r="F9" s="415"/>
      <c r="G9" s="415"/>
      <c r="H9" s="482"/>
      <c r="I9" s="471"/>
      <c r="K9" s="416" t="s">
        <v>1663</v>
      </c>
    </row>
    <row r="10" spans="1:12" ht="15.75" customHeight="1">
      <c r="A10" s="420"/>
      <c r="B10" s="435">
        <v>0</v>
      </c>
      <c r="C10" s="422" t="s">
        <v>1247</v>
      </c>
      <c r="D10" s="415"/>
      <c r="E10" s="415"/>
      <c r="F10" s="415"/>
      <c r="G10" s="411">
        <v>2000</v>
      </c>
      <c r="H10" s="482"/>
      <c r="I10" s="471"/>
      <c r="K10" s="868" t="s">
        <v>1604</v>
      </c>
      <c r="L10" s="415">
        <v>16400</v>
      </c>
    </row>
    <row r="11" spans="1:12" ht="15.75" customHeight="1">
      <c r="A11" s="420"/>
      <c r="B11" s="899">
        <v>3299</v>
      </c>
      <c r="C11" s="422" t="s">
        <v>1651</v>
      </c>
      <c r="D11" s="415"/>
      <c r="E11" s="415"/>
      <c r="F11" s="415"/>
      <c r="G11" s="411">
        <v>10190</v>
      </c>
      <c r="H11" s="482"/>
      <c r="I11" s="471"/>
      <c r="K11" s="868" t="s">
        <v>1664</v>
      </c>
      <c r="L11" s="681">
        <v>11080</v>
      </c>
    </row>
    <row r="12" spans="1:12" ht="15.75" customHeight="1">
      <c r="A12" s="420"/>
      <c r="B12" s="899"/>
      <c r="C12" s="422" t="s">
        <v>1652</v>
      </c>
      <c r="D12" s="415"/>
      <c r="E12" s="415"/>
      <c r="F12" s="415"/>
      <c r="G12" s="411">
        <v>215</v>
      </c>
      <c r="H12" s="482"/>
      <c r="I12" s="471"/>
      <c r="L12" s="955">
        <f>SUM(L10:L11)</f>
        <v>27480</v>
      </c>
    </row>
    <row r="13" spans="1:12" ht="13.5">
      <c r="A13" s="420"/>
      <c r="B13" s="903"/>
      <c r="D13" s="847"/>
      <c r="E13" s="881"/>
      <c r="F13" s="408"/>
      <c r="G13" s="462"/>
      <c r="H13" s="482"/>
      <c r="I13" s="471"/>
    </row>
    <row r="14" spans="1:12" ht="15" customHeight="1">
      <c r="A14" s="420"/>
      <c r="B14" s="855"/>
      <c r="C14" s="431"/>
      <c r="D14" s="434"/>
      <c r="E14" s="433"/>
      <c r="F14" s="433"/>
      <c r="G14" s="480">
        <f>SUM(G10:G13)</f>
        <v>12405</v>
      </c>
      <c r="H14" s="482"/>
      <c r="I14" s="471"/>
    </row>
    <row r="15" spans="1:12" ht="15" customHeight="1">
      <c r="A15" s="420"/>
      <c r="B15" s="855"/>
      <c r="C15" s="415"/>
      <c r="D15" s="415"/>
      <c r="E15" s="415"/>
      <c r="F15" s="415"/>
      <c r="G15" s="437"/>
      <c r="H15" s="482">
        <f>+G14</f>
        <v>12405</v>
      </c>
      <c r="I15" s="472"/>
    </row>
    <row r="16" spans="1:12" ht="15" customHeight="1">
      <c r="A16" s="420"/>
      <c r="B16" s="653"/>
      <c r="C16" s="435"/>
      <c r="D16" s="436"/>
      <c r="E16" s="415"/>
      <c r="F16" s="444"/>
      <c r="G16" s="437"/>
      <c r="H16" s="484"/>
      <c r="I16" s="534"/>
      <c r="K16" s="416" t="s">
        <v>1665</v>
      </c>
    </row>
    <row r="17" spans="1:13" ht="15" customHeight="1">
      <c r="A17" s="420"/>
      <c r="B17" s="435" t="s">
        <v>501</v>
      </c>
      <c r="C17" s="415"/>
      <c r="D17" s="415"/>
      <c r="E17" s="428"/>
      <c r="F17" s="428"/>
      <c r="G17" s="424"/>
      <c r="H17" s="485">
        <f>SUM(H5:H15)</f>
        <v>411474</v>
      </c>
      <c r="I17" s="472"/>
      <c r="K17" t="s">
        <v>1666</v>
      </c>
    </row>
    <row r="18" spans="1:13" ht="15" customHeight="1">
      <c r="A18" s="420" t="s">
        <v>1275</v>
      </c>
      <c r="B18" s="590" t="s">
        <v>1509</v>
      </c>
      <c r="C18" s="415"/>
      <c r="D18" s="415"/>
      <c r="E18" s="415"/>
      <c r="F18" s="415"/>
      <c r="G18" s="415"/>
      <c r="H18" s="482"/>
      <c r="I18" s="471"/>
      <c r="K18" s="416" t="s">
        <v>1667</v>
      </c>
    </row>
    <row r="19" spans="1:13" ht="15" customHeight="1">
      <c r="A19" s="420"/>
      <c r="B19" s="680"/>
      <c r="C19" s="449" t="s">
        <v>1512</v>
      </c>
      <c r="D19" s="415"/>
      <c r="E19" s="415"/>
      <c r="F19" s="415"/>
      <c r="G19" s="423"/>
      <c r="H19" s="482"/>
      <c r="I19" s="471"/>
    </row>
    <row r="20" spans="1:13" ht="15" customHeight="1">
      <c r="A20" s="420"/>
      <c r="B20" s="680"/>
      <c r="C20" s="697" t="s">
        <v>1658</v>
      </c>
      <c r="D20" s="415"/>
      <c r="E20" s="415"/>
      <c r="F20" s="411">
        <v>34432</v>
      </c>
      <c r="G20" s="423"/>
      <c r="H20" s="482"/>
      <c r="I20" s="471"/>
    </row>
    <row r="21" spans="1:13" ht="15" customHeight="1">
      <c r="A21" s="420"/>
      <c r="B21" s="680"/>
      <c r="C21" s="697" t="s">
        <v>1657</v>
      </c>
      <c r="D21" s="415"/>
      <c r="E21" s="415"/>
      <c r="F21" s="411">
        <v>50000</v>
      </c>
      <c r="G21" s="423"/>
      <c r="H21" s="482"/>
      <c r="I21" s="471"/>
    </row>
    <row r="22" spans="1:13" ht="15" customHeight="1">
      <c r="A22" s="420"/>
      <c r="B22" s="680"/>
      <c r="C22" s="697" t="s">
        <v>984</v>
      </c>
      <c r="D22" s="415"/>
      <c r="E22" s="415"/>
      <c r="F22" s="411">
        <v>360</v>
      </c>
      <c r="G22" s="423"/>
      <c r="H22" s="482"/>
      <c r="I22" s="471"/>
    </row>
    <row r="23" spans="1:13" ht="15" customHeight="1">
      <c r="A23" s="420"/>
      <c r="B23" s="680"/>
      <c r="C23" s="431"/>
      <c r="D23" s="415"/>
      <c r="E23" s="415"/>
      <c r="F23" s="936">
        <f>SUM(F20:F22)</f>
        <v>84792</v>
      </c>
      <c r="G23" s="415"/>
      <c r="H23" s="482"/>
      <c r="I23" s="471"/>
    </row>
    <row r="24" spans="1:13" ht="15" customHeight="1">
      <c r="A24" s="420"/>
      <c r="B24" s="680"/>
      <c r="C24" s="449" t="s">
        <v>1633</v>
      </c>
      <c r="D24" s="415"/>
      <c r="E24" s="415" t="s">
        <v>1149</v>
      </c>
      <c r="F24" s="681">
        <v>31419</v>
      </c>
      <c r="G24" s="411">
        <f>F23+F24</f>
        <v>116211</v>
      </c>
      <c r="H24" s="482"/>
      <c r="I24" s="471"/>
    </row>
    <row r="25" spans="1:13" ht="15" customHeight="1">
      <c r="A25" s="420"/>
      <c r="B25" s="680"/>
      <c r="C25" s="449" t="s">
        <v>1635</v>
      </c>
      <c r="D25" s="415"/>
      <c r="E25" s="415" t="s">
        <v>1149</v>
      </c>
      <c r="F25" s="450"/>
      <c r="G25" s="411">
        <v>31419</v>
      </c>
      <c r="H25" s="482"/>
      <c r="I25" s="471"/>
    </row>
    <row r="26" spans="1:13" ht="15" customHeight="1">
      <c r="A26" s="420"/>
      <c r="B26" s="680"/>
      <c r="C26" s="449" t="s">
        <v>979</v>
      </c>
      <c r="D26" s="857"/>
      <c r="E26" s="428"/>
      <c r="F26" s="428"/>
      <c r="G26" s="447">
        <v>2000</v>
      </c>
      <c r="H26" s="482"/>
      <c r="I26" s="471"/>
    </row>
    <row r="27" spans="1:13">
      <c r="A27" s="420"/>
      <c r="B27" s="408"/>
      <c r="H27" s="482">
        <f>SUM(G23:G26)</f>
        <v>149630</v>
      </c>
      <c r="I27" s="472"/>
    </row>
    <row r="28" spans="1:13" ht="15.75" customHeight="1" thickBot="1">
      <c r="A28" s="420"/>
      <c r="B28" s="856" t="s">
        <v>777</v>
      </c>
      <c r="C28" s="415"/>
      <c r="D28" s="415"/>
      <c r="E28" s="452">
        <f>IF((H17-H27)&lt;0,0,(H17-H27))</f>
        <v>261844</v>
      </c>
      <c r="F28" s="453" t="s">
        <v>1617</v>
      </c>
      <c r="G28" s="440"/>
      <c r="H28" s="486">
        <f>ROUND((E28/10),0)*10</f>
        <v>261840</v>
      </c>
      <c r="I28" s="475"/>
      <c r="L28" s="685"/>
      <c r="M28" s="685"/>
    </row>
    <row r="29" spans="1:13" ht="21.75" customHeight="1" thickTop="1">
      <c r="A29" s="420"/>
      <c r="B29" s="449" t="s">
        <v>778</v>
      </c>
      <c r="C29" s="415"/>
      <c r="D29" s="415"/>
      <c r="E29" s="931" t="s">
        <v>521</v>
      </c>
      <c r="F29" s="932"/>
      <c r="G29" s="931" t="s">
        <v>524</v>
      </c>
      <c r="H29" s="951">
        <f>+G30</f>
        <v>592</v>
      </c>
      <c r="I29" s="471"/>
      <c r="L29" s="685"/>
    </row>
    <row r="30" spans="1:13" ht="15" hidden="1" customHeight="1">
      <c r="A30" s="420"/>
      <c r="B30" s="912">
        <v>21568</v>
      </c>
      <c r="C30" s="467"/>
      <c r="D30" s="408" t="s">
        <v>1574</v>
      </c>
      <c r="E30" s="455">
        <f>H28-E32-E31</f>
        <v>261840</v>
      </c>
      <c r="F30" s="456"/>
      <c r="G30" s="415">
        <f>IF(+C30="Sr Citizen",ROUND(IF(E30&gt;1000000,(((E30-1000000)*0.3)+110000),IF(E30&gt;500000,(((E30-500000)*0.2)+10000),IF(E30&gt;300000,((E30-300000)*0.05),0))),0),ROUND(IF(E30&gt;1000000,(((E30-1000000)*0.3)+112500),IF(E30&gt;500000,(((E30-500000)*0.2)+12500),IF(E30&gt;250000,((E30-250000)*0.05),0))),0))</f>
        <v>592</v>
      </c>
      <c r="H30" s="946"/>
      <c r="I30" s="471"/>
      <c r="L30" s="685"/>
    </row>
    <row r="31" spans="1:13" ht="15" hidden="1" customHeight="1">
      <c r="A31" s="420"/>
      <c r="B31" s="883"/>
      <c r="C31" s="467"/>
      <c r="D31" s="408" t="s">
        <v>1563</v>
      </c>
      <c r="E31" s="455"/>
      <c r="F31" s="678"/>
      <c r="G31" s="415">
        <f>ROUND(E31*F31,0)</f>
        <v>0</v>
      </c>
      <c r="H31" s="946"/>
      <c r="I31" s="471"/>
      <c r="L31" s="685"/>
    </row>
    <row r="32" spans="1:13" ht="18.75" customHeight="1">
      <c r="A32" s="420"/>
      <c r="B32" s="945" t="s">
        <v>1653</v>
      </c>
      <c r="D32" s="408"/>
      <c r="E32" s="753"/>
      <c r="F32" s="678"/>
      <c r="H32" s="947">
        <f>IF(H28&gt;350000,0,IF(G30&gt;2500,2500,G30))</f>
        <v>592</v>
      </c>
      <c r="I32" s="473"/>
      <c r="L32" s="685"/>
    </row>
    <row r="33" spans="1:12" ht="15" hidden="1" customHeight="1">
      <c r="A33" s="420"/>
      <c r="B33" s="601" t="s">
        <v>1564</v>
      </c>
      <c r="C33" s="524"/>
      <c r="D33" s="678"/>
      <c r="E33" s="753"/>
      <c r="G33" s="538"/>
      <c r="H33" s="948"/>
      <c r="I33" s="473"/>
      <c r="L33" s="685"/>
    </row>
    <row r="34" spans="1:12" ht="15" customHeight="1">
      <c r="A34" s="420"/>
      <c r="B34" s="449" t="s">
        <v>1243</v>
      </c>
      <c r="C34" s="524"/>
      <c r="D34" s="415"/>
      <c r="E34" s="753"/>
      <c r="F34" s="754"/>
      <c r="G34" s="526"/>
      <c r="H34" s="949">
        <v>0</v>
      </c>
      <c r="I34" s="472"/>
      <c r="L34" s="685"/>
    </row>
    <row r="35" spans="1:12" ht="15" customHeight="1">
      <c r="A35" s="420"/>
      <c r="B35" s="408" t="s">
        <v>1614</v>
      </c>
      <c r="C35" s="415"/>
      <c r="D35" s="456"/>
      <c r="E35" s="428"/>
      <c r="F35" s="415"/>
      <c r="G35" s="428"/>
      <c r="H35" s="949">
        <v>0</v>
      </c>
      <c r="I35" s="472"/>
      <c r="L35" s="685"/>
    </row>
    <row r="36" spans="1:12" ht="15" customHeight="1">
      <c r="B36" s="408" t="s">
        <v>1654</v>
      </c>
      <c r="C36" s="415"/>
      <c r="D36" s="456"/>
      <c r="E36" s="458"/>
      <c r="F36" s="415"/>
      <c r="G36" s="428"/>
      <c r="H36" s="947">
        <v>1000</v>
      </c>
      <c r="I36" s="474"/>
      <c r="L36" s="685"/>
    </row>
    <row r="37" spans="1:12" ht="15" customHeight="1">
      <c r="A37" s="420"/>
      <c r="B37" s="408"/>
      <c r="C37" s="415"/>
      <c r="D37" s="456"/>
      <c r="E37" s="458"/>
      <c r="F37" s="415"/>
      <c r="G37" s="428"/>
      <c r="H37" s="950">
        <v>1000</v>
      </c>
      <c r="I37" s="944"/>
      <c r="L37" s="685"/>
    </row>
    <row r="38" spans="1:12" ht="15" customHeight="1">
      <c r="A38" s="420"/>
      <c r="B38" s="408" t="s">
        <v>1655</v>
      </c>
      <c r="C38" s="415"/>
      <c r="D38" s="456"/>
      <c r="E38" s="458"/>
      <c r="F38" s="415"/>
      <c r="G38" s="428"/>
      <c r="H38" s="950">
        <f>1844+1019</f>
        <v>2863</v>
      </c>
      <c r="I38" s="944"/>
      <c r="L38" s="685"/>
    </row>
    <row r="39" spans="1:12" ht="18" customHeight="1" thickBot="1">
      <c r="A39" s="914"/>
      <c r="B39" s="915" t="s">
        <v>1656</v>
      </c>
      <c r="C39" s="916"/>
      <c r="D39" s="917"/>
      <c r="E39" s="918"/>
      <c r="F39" s="924" t="s">
        <v>1618</v>
      </c>
      <c r="G39" s="919"/>
      <c r="H39" s="952">
        <f>H38-H37-3</f>
        <v>1860</v>
      </c>
      <c r="I39" s="475"/>
      <c r="L39" s="685"/>
    </row>
    <row r="40" spans="1:12" ht="18" hidden="1" customHeight="1" thickTop="1">
      <c r="A40" s="808"/>
      <c r="B40" s="899"/>
      <c r="C40" s="809"/>
      <c r="D40" s="752"/>
      <c r="E40" s="428"/>
      <c r="G40" s="894"/>
      <c r="H40" s="811"/>
      <c r="I40" s="810"/>
      <c r="L40" s="685"/>
    </row>
    <row r="41" spans="1:12" ht="17.25" customHeight="1" thickTop="1">
      <c r="A41" s="1134">
        <f ca="1">TODAY()</f>
        <v>44231</v>
      </c>
      <c r="B41" s="1134"/>
      <c r="E41" s="554"/>
      <c r="F41" s="554"/>
      <c r="G41" s="554"/>
      <c r="H41" s="864" t="s">
        <v>1517</v>
      </c>
      <c r="J41" s="554"/>
      <c r="L41" s="685"/>
    </row>
    <row r="42" spans="1:12">
      <c r="A42" s="567"/>
      <c r="B42" s="942"/>
      <c r="C42" s="570"/>
      <c r="D42" s="570"/>
      <c r="E42" s="570"/>
      <c r="F42" s="570"/>
      <c r="G42" s="570"/>
      <c r="H42" s="570"/>
      <c r="I42" s="569"/>
      <c r="J42" s="554"/>
      <c r="L42" s="685"/>
    </row>
    <row r="43" spans="1:12">
      <c r="L43" s="685"/>
    </row>
  </sheetData>
  <mergeCells count="3">
    <mergeCell ref="A1:I1"/>
    <mergeCell ref="A2:I2"/>
    <mergeCell ref="A41:B41"/>
  </mergeCells>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40"/>
  <sheetViews>
    <sheetView showZeros="0" zoomScale="130" zoomScaleNormal="130" zoomScaleSheetLayoutView="110" workbookViewId="0">
      <selection activeCell="K12" sqref="K12"/>
    </sheetView>
  </sheetViews>
  <sheetFormatPr defaultColWidth="9.140625" defaultRowHeight="12.75"/>
  <cols>
    <col min="1" max="1" width="3.5703125" style="460" customWidth="1"/>
    <col min="2" max="2" width="10.28515625" style="682" customWidth="1"/>
    <col min="3" max="3" width="10.7109375" style="416" customWidth="1"/>
    <col min="4" max="4" width="10.85546875" style="416" customWidth="1"/>
    <col min="5" max="5" width="13.85546875" style="416" customWidth="1"/>
    <col min="6" max="6" width="12" style="416" customWidth="1"/>
    <col min="7" max="7" width="11.42578125" style="416" customWidth="1"/>
    <col min="8" max="8" width="11.140625" style="416" customWidth="1"/>
    <col min="9" max="9" width="1.85546875" style="476" customWidth="1"/>
    <col min="10" max="10" width="3.42578125" style="416" customWidth="1"/>
    <col min="11" max="11" width="20.42578125" style="416" customWidth="1"/>
    <col min="12" max="12" width="11.85546875" style="416" customWidth="1"/>
    <col min="13" max="13" width="10.85546875" style="416" customWidth="1"/>
    <col min="14" max="14" width="11.28515625" style="416" customWidth="1"/>
    <col min="15" max="16" width="12" style="416" customWidth="1"/>
    <col min="17" max="16384" width="9.140625" style="416"/>
  </cols>
  <sheetData>
    <row r="1" spans="1:13" s="413" customFormat="1" ht="18.75" customHeight="1">
      <c r="A1" s="1143" t="s">
        <v>1601</v>
      </c>
      <c r="B1" s="1144"/>
      <c r="C1" s="1144"/>
      <c r="D1" s="1144"/>
      <c r="E1" s="1144"/>
      <c r="F1" s="1144"/>
      <c r="G1" s="1144"/>
      <c r="H1" s="1144"/>
      <c r="I1" s="1145"/>
    </row>
    <row r="2" spans="1:13" ht="18" customHeight="1" thickBot="1">
      <c r="A2" s="1111" t="s">
        <v>562</v>
      </c>
      <c r="B2" s="1112"/>
      <c r="C2" s="1112"/>
      <c r="D2" s="1112"/>
      <c r="E2" s="1112"/>
      <c r="F2" s="1112"/>
      <c r="G2" s="1112"/>
      <c r="H2" s="1112"/>
      <c r="I2" s="1113"/>
      <c r="K2" s="848" t="s">
        <v>1133</v>
      </c>
    </row>
    <row r="3" spans="1:13" ht="20.100000000000001" customHeight="1">
      <c r="A3" s="417"/>
      <c r="B3" s="852" t="s">
        <v>1506</v>
      </c>
      <c r="C3" s="419"/>
      <c r="D3" s="419"/>
      <c r="E3" s="419"/>
      <c r="F3" s="419"/>
      <c r="G3" s="419"/>
      <c r="H3" s="501" t="s">
        <v>1013</v>
      </c>
      <c r="I3" s="470"/>
      <c r="K3" s="416" t="s">
        <v>1602</v>
      </c>
      <c r="L3" s="416">
        <v>489600</v>
      </c>
    </row>
    <row r="4" spans="1:13" ht="15" customHeight="1">
      <c r="A4" s="420"/>
      <c r="B4" s="435"/>
      <c r="C4" s="422" t="s">
        <v>567</v>
      </c>
      <c r="D4" s="422"/>
      <c r="E4" s="431"/>
      <c r="F4" s="423"/>
      <c r="G4" s="411">
        <f>+L7</f>
        <v>692800</v>
      </c>
      <c r="H4" s="482"/>
      <c r="I4" s="471"/>
      <c r="K4" s="416" t="s">
        <v>1619</v>
      </c>
      <c r="L4" s="416">
        <v>42512</v>
      </c>
    </row>
    <row r="5" spans="1:13" ht="15" customHeight="1">
      <c r="A5" s="420"/>
      <c r="B5" s="408"/>
      <c r="C5" s="672" t="s">
        <v>1616</v>
      </c>
      <c r="D5" s="415"/>
      <c r="E5" s="415"/>
      <c r="F5" s="415"/>
      <c r="G5" s="923">
        <v>40000</v>
      </c>
      <c r="H5" s="482">
        <f>G4-G5</f>
        <v>652800</v>
      </c>
      <c r="I5" s="472"/>
      <c r="K5" s="416" t="s">
        <v>1603</v>
      </c>
      <c r="L5" s="416">
        <v>117504</v>
      </c>
    </row>
    <row r="6" spans="1:13" ht="15" customHeight="1">
      <c r="A6" s="420"/>
      <c r="B6" s="853" t="s">
        <v>1507</v>
      </c>
      <c r="C6" s="415"/>
      <c r="D6" s="415"/>
      <c r="E6" s="922" t="s">
        <v>1612</v>
      </c>
      <c r="F6" s="423"/>
      <c r="G6" s="415"/>
      <c r="H6" s="482"/>
      <c r="I6" s="472"/>
      <c r="K6" s="416" t="s">
        <v>1604</v>
      </c>
      <c r="L6" s="681">
        <v>43184</v>
      </c>
    </row>
    <row r="7" spans="1:13" ht="15" customHeight="1">
      <c r="A7" s="420"/>
      <c r="B7" s="853"/>
      <c r="C7" s="583" t="s">
        <v>1164</v>
      </c>
      <c r="D7" s="422"/>
      <c r="E7" s="672"/>
      <c r="F7" s="679"/>
      <c r="G7" s="411"/>
      <c r="H7" s="482"/>
      <c r="I7" s="472"/>
      <c r="L7" s="416">
        <f>SUM(L3:L6)</f>
        <v>692800</v>
      </c>
    </row>
    <row r="8" spans="1:13" ht="15" customHeight="1">
      <c r="A8" s="420"/>
      <c r="B8" s="583"/>
      <c r="C8" s="7" t="s">
        <v>1505</v>
      </c>
      <c r="D8" s="415"/>
      <c r="E8" s="855" t="s">
        <v>1613</v>
      </c>
      <c r="F8" s="882"/>
      <c r="G8" s="523">
        <v>205000</v>
      </c>
      <c r="H8" s="482">
        <f>0-G8+5000</f>
        <v>-200000</v>
      </c>
      <c r="I8" s="472"/>
      <c r="K8" s="416" t="s">
        <v>1605</v>
      </c>
      <c r="L8" s="681">
        <v>40000</v>
      </c>
      <c r="M8" s="416">
        <f>L7-L8</f>
        <v>652800</v>
      </c>
    </row>
    <row r="9" spans="1:13" ht="20.100000000000001" customHeight="1">
      <c r="A9" s="420"/>
      <c r="B9" s="435" t="s">
        <v>1508</v>
      </c>
      <c r="C9" s="415"/>
      <c r="D9" s="415"/>
      <c r="E9" s="415"/>
      <c r="F9" s="415"/>
      <c r="G9" s="415"/>
      <c r="H9" s="482"/>
      <c r="I9" s="471"/>
    </row>
    <row r="10" spans="1:13" ht="15.75" customHeight="1">
      <c r="A10" s="420"/>
      <c r="B10" s="435"/>
      <c r="C10" s="422" t="s">
        <v>1247</v>
      </c>
      <c r="D10" s="415"/>
      <c r="E10" s="415"/>
      <c r="F10" s="415"/>
      <c r="G10" s="411"/>
      <c r="H10" s="482"/>
      <c r="I10" s="471"/>
    </row>
    <row r="11" spans="1:13" ht="16.5" customHeight="1">
      <c r="A11" s="420"/>
      <c r="B11" s="435"/>
      <c r="C11" s="422" t="s">
        <v>1607</v>
      </c>
      <c r="D11" s="415"/>
      <c r="E11" s="415"/>
      <c r="F11" s="415"/>
      <c r="G11" s="411">
        <v>3000</v>
      </c>
      <c r="H11" s="482"/>
      <c r="I11" s="471"/>
    </row>
    <row r="12" spans="1:13" ht="15.75" customHeight="1">
      <c r="A12" s="420"/>
      <c r="B12" s="854"/>
      <c r="C12" s="422" t="s">
        <v>1606</v>
      </c>
      <c r="D12" s="431"/>
      <c r="E12" s="431"/>
      <c r="F12" s="415"/>
      <c r="G12" s="411">
        <v>4000</v>
      </c>
      <c r="H12" s="482"/>
      <c r="I12" s="471"/>
    </row>
    <row r="13" spans="1:13" ht="13.5">
      <c r="A13" s="420"/>
      <c r="B13" s="903"/>
      <c r="C13" s="422"/>
      <c r="D13" s="847"/>
      <c r="E13" s="881"/>
      <c r="F13" s="408"/>
      <c r="G13" s="462"/>
      <c r="H13" s="482"/>
      <c r="I13" s="471"/>
    </row>
    <row r="14" spans="1:13" ht="15" customHeight="1">
      <c r="A14" s="420"/>
      <c r="B14" s="855"/>
      <c r="C14" s="431"/>
      <c r="D14" s="434"/>
      <c r="E14" s="433"/>
      <c r="F14" s="433"/>
      <c r="G14" s="480">
        <f>SUM(G11:G13)</f>
        <v>7000</v>
      </c>
      <c r="H14" s="482"/>
      <c r="I14" s="471"/>
    </row>
    <row r="15" spans="1:13" ht="15" customHeight="1">
      <c r="A15" s="420"/>
      <c r="B15" s="855"/>
      <c r="C15" s="415"/>
      <c r="D15" s="415"/>
      <c r="E15" s="415"/>
      <c r="F15" s="415"/>
      <c r="G15" s="437"/>
      <c r="H15" s="482">
        <f>+G14</f>
        <v>7000</v>
      </c>
      <c r="I15" s="472"/>
    </row>
    <row r="16" spans="1:13" ht="15" customHeight="1">
      <c r="A16" s="420"/>
      <c r="B16" s="653"/>
      <c r="C16" s="435"/>
      <c r="D16" s="436"/>
      <c r="E16" s="415"/>
      <c r="F16" s="444"/>
      <c r="G16" s="437"/>
      <c r="H16" s="484"/>
      <c r="I16" s="534"/>
    </row>
    <row r="17" spans="1:13" ht="15" customHeight="1">
      <c r="A17" s="420"/>
      <c r="B17" s="435" t="s">
        <v>501</v>
      </c>
      <c r="C17" s="415"/>
      <c r="D17" s="415"/>
      <c r="E17" s="428"/>
      <c r="F17" s="428"/>
      <c r="G17" s="424"/>
      <c r="H17" s="485">
        <f>SUM(H5:H15)</f>
        <v>459800</v>
      </c>
      <c r="I17" s="472"/>
    </row>
    <row r="18" spans="1:13" ht="15" customHeight="1">
      <c r="A18" s="420" t="s">
        <v>1275</v>
      </c>
      <c r="B18" s="590" t="s">
        <v>1509</v>
      </c>
      <c r="C18" s="415"/>
      <c r="D18" s="415"/>
      <c r="E18" s="415"/>
      <c r="F18" s="415"/>
      <c r="G18" s="415"/>
      <c r="H18" s="482"/>
      <c r="I18" s="471"/>
    </row>
    <row r="19" spans="1:13" ht="15" customHeight="1">
      <c r="A19" s="420"/>
      <c r="B19" s="680"/>
      <c r="C19" s="435" t="s">
        <v>1512</v>
      </c>
      <c r="D19" s="415"/>
      <c r="E19" s="415"/>
      <c r="F19" s="415"/>
      <c r="G19" s="423"/>
      <c r="H19" s="482"/>
      <c r="I19" s="471"/>
    </row>
    <row r="20" spans="1:13" ht="15" customHeight="1">
      <c r="A20" s="420"/>
      <c r="B20" s="680"/>
      <c r="C20" s="408" t="s">
        <v>1608</v>
      </c>
      <c r="D20" s="415"/>
      <c r="E20" s="415"/>
      <c r="F20" s="411">
        <v>56400</v>
      </c>
      <c r="G20" s="423"/>
      <c r="H20" s="482"/>
      <c r="I20" s="471"/>
    </row>
    <row r="21" spans="1:13" ht="15" customHeight="1">
      <c r="A21" s="420"/>
      <c r="B21" s="680"/>
      <c r="C21" s="408" t="s">
        <v>1609</v>
      </c>
      <c r="D21" s="415"/>
      <c r="E21" s="415"/>
      <c r="F21" s="411">
        <v>6000</v>
      </c>
      <c r="G21" s="423"/>
      <c r="H21" s="482"/>
      <c r="I21" s="471"/>
    </row>
    <row r="22" spans="1:13" ht="15" customHeight="1">
      <c r="A22" s="420"/>
      <c r="B22" s="680"/>
      <c r="C22" s="408" t="s">
        <v>1610</v>
      </c>
      <c r="D22" s="415"/>
      <c r="E22" s="415"/>
      <c r="F22" s="411">
        <v>10500</v>
      </c>
      <c r="G22" s="423"/>
      <c r="H22" s="482"/>
      <c r="I22" s="471"/>
    </row>
    <row r="23" spans="1:13" ht="15" customHeight="1">
      <c r="A23" s="420"/>
      <c r="B23" s="680"/>
      <c r="C23" s="408" t="s">
        <v>1611</v>
      </c>
      <c r="D23" s="415"/>
      <c r="E23" s="415"/>
      <c r="F23" s="411">
        <v>95000</v>
      </c>
      <c r="G23" s="423"/>
      <c r="H23" s="482"/>
      <c r="I23" s="471"/>
    </row>
    <row r="24" spans="1:13" ht="15" customHeight="1">
      <c r="A24" s="420"/>
      <c r="B24" s="680"/>
      <c r="C24" s="408" t="s">
        <v>509</v>
      </c>
      <c r="D24" s="415"/>
      <c r="E24" s="415"/>
      <c r="F24" s="411">
        <v>10000</v>
      </c>
      <c r="G24" s="423"/>
      <c r="H24" s="482"/>
      <c r="I24" s="471"/>
    </row>
    <row r="25" spans="1:13" ht="15" customHeight="1">
      <c r="A25" s="420"/>
      <c r="B25" s="680"/>
      <c r="C25" s="431"/>
      <c r="D25" s="415"/>
      <c r="E25" s="415"/>
      <c r="F25" s="448">
        <f>SUM(F20:F24)</f>
        <v>177900</v>
      </c>
      <c r="G25" s="415">
        <f>IF(F25&gt;150000,150000,F25)</f>
        <v>150000</v>
      </c>
      <c r="H25" s="482"/>
      <c r="I25" s="471"/>
    </row>
    <row r="26" spans="1:13" ht="15" customHeight="1">
      <c r="A26" s="420"/>
      <c r="B26" s="680"/>
      <c r="C26" s="449" t="s">
        <v>979</v>
      </c>
      <c r="D26" s="857"/>
      <c r="E26" s="428"/>
      <c r="F26" s="428"/>
      <c r="G26" s="447"/>
      <c r="H26" s="482"/>
      <c r="I26" s="471"/>
    </row>
    <row r="27" spans="1:13">
      <c r="A27" s="420"/>
      <c r="B27" s="408"/>
      <c r="H27" s="482">
        <f>SUM(G25:G26)</f>
        <v>150000</v>
      </c>
      <c r="I27" s="472"/>
    </row>
    <row r="28" spans="1:13" ht="15.75" customHeight="1" thickBot="1">
      <c r="A28" s="420"/>
      <c r="B28" s="856" t="s">
        <v>777</v>
      </c>
      <c r="C28" s="415"/>
      <c r="D28" s="415"/>
      <c r="E28" s="452">
        <f>IF((H17-H27)&lt;0,0,(H17-H27))</f>
        <v>309800</v>
      </c>
      <c r="F28" s="453" t="s">
        <v>1617</v>
      </c>
      <c r="G28" s="440"/>
      <c r="H28" s="486">
        <f>ROUND((E28/10),0)*10</f>
        <v>309800</v>
      </c>
      <c r="I28" s="475"/>
      <c r="L28" s="685"/>
      <c r="M28" s="685"/>
    </row>
    <row r="29" spans="1:13" ht="21.75" customHeight="1" thickTop="1">
      <c r="A29" s="420"/>
      <c r="B29" s="449" t="s">
        <v>778</v>
      </c>
      <c r="C29" s="415"/>
      <c r="D29" s="415"/>
      <c r="E29" s="931" t="s">
        <v>521</v>
      </c>
      <c r="F29" s="932"/>
      <c r="G29" s="931" t="s">
        <v>524</v>
      </c>
      <c r="H29" s="913">
        <f>+G30</f>
        <v>2990</v>
      </c>
      <c r="I29" s="471"/>
    </row>
    <row r="30" spans="1:13" ht="15" hidden="1" customHeight="1">
      <c r="A30" s="420"/>
      <c r="B30" s="912">
        <v>21568</v>
      </c>
      <c r="C30" s="467"/>
      <c r="D30" s="408" t="s">
        <v>1574</v>
      </c>
      <c r="E30" s="455">
        <f>H28-E32-E31</f>
        <v>309800</v>
      </c>
      <c r="F30" s="456"/>
      <c r="G30" s="415">
        <f>IF(+C30="Sr Citizen",ROUND(IF(E30&gt;1000000,(((E30-1000000)*0.3)+110000),IF(E30&gt;500000,(((E30-500000)*0.2)+10000),IF(E30&gt;300000,((E30-300000)*0.05),0))),0),ROUND(IF(E30&gt;1000000,(((E30-1000000)*0.3)+112500),IF(E30&gt;500000,(((E30-500000)*0.2)+12500),IF(E30&gt;250000,((E30-250000)*0.05),0))),0))</f>
        <v>2990</v>
      </c>
      <c r="H30" s="487"/>
      <c r="I30" s="471"/>
      <c r="K30" s="682"/>
    </row>
    <row r="31" spans="1:13" ht="15" hidden="1" customHeight="1">
      <c r="A31" s="420"/>
      <c r="B31" s="883"/>
      <c r="C31" s="467"/>
      <c r="D31" s="408" t="s">
        <v>1563</v>
      </c>
      <c r="E31" s="455"/>
      <c r="F31" s="678"/>
      <c r="G31" s="415">
        <f>ROUND(E31*F31,0)</f>
        <v>0</v>
      </c>
      <c r="H31" s="487"/>
      <c r="I31" s="471"/>
    </row>
    <row r="32" spans="1:13" ht="18.75" customHeight="1">
      <c r="A32" s="420"/>
      <c r="B32" s="929" t="s">
        <v>1620</v>
      </c>
      <c r="D32" s="408"/>
      <c r="E32" s="753"/>
      <c r="F32" s="678"/>
      <c r="H32" s="528">
        <f>IF(H28&gt;350000,0,IF(G30&gt;2500,2500,G30))</f>
        <v>2500</v>
      </c>
      <c r="I32" s="473"/>
    </row>
    <row r="33" spans="1:13" ht="15" hidden="1" customHeight="1">
      <c r="A33" s="420"/>
      <c r="B33" s="601" t="s">
        <v>1564</v>
      </c>
      <c r="C33" s="524"/>
      <c r="D33" s="678"/>
      <c r="E33" s="753"/>
      <c r="G33" s="538"/>
      <c r="H33" s="696"/>
      <c r="I33" s="473"/>
    </row>
    <row r="34" spans="1:13" ht="15" customHeight="1">
      <c r="A34" s="420"/>
      <c r="B34" s="449" t="s">
        <v>1243</v>
      </c>
      <c r="C34" s="524"/>
      <c r="D34" s="415"/>
      <c r="E34" s="753"/>
      <c r="F34" s="754"/>
      <c r="G34" s="526"/>
      <c r="H34" s="489">
        <f>H29-H32</f>
        <v>490</v>
      </c>
      <c r="I34" s="472"/>
      <c r="L34" s="685"/>
    </row>
    <row r="35" spans="1:13" ht="15" customHeight="1">
      <c r="A35" s="420"/>
      <c r="B35" s="408" t="s">
        <v>1614</v>
      </c>
      <c r="C35" s="415"/>
      <c r="D35" s="456"/>
      <c r="E35" s="428"/>
      <c r="F35" s="415"/>
      <c r="G35" s="428"/>
      <c r="H35" s="489">
        <f>H34*0.03</f>
        <v>14.7</v>
      </c>
      <c r="I35" s="472"/>
    </row>
    <row r="36" spans="1:13" ht="15" customHeight="1">
      <c r="A36" s="925"/>
      <c r="B36" s="683" t="s">
        <v>1615</v>
      </c>
      <c r="C36" s="681"/>
      <c r="D36" s="926"/>
      <c r="E36" s="927"/>
      <c r="F36" s="681"/>
      <c r="G36" s="928"/>
      <c r="H36" s="528">
        <f>ROUND((H34)*0.01,0)</f>
        <v>5</v>
      </c>
      <c r="I36" s="474"/>
    </row>
    <row r="37" spans="1:13" ht="18" customHeight="1" thickBot="1">
      <c r="A37" s="914"/>
      <c r="B37" s="915" t="s">
        <v>565</v>
      </c>
      <c r="C37" s="916"/>
      <c r="D37" s="917"/>
      <c r="E37" s="918"/>
      <c r="F37" s="924" t="s">
        <v>1618</v>
      </c>
      <c r="G37" s="919"/>
      <c r="H37" s="920">
        <f>SUM(H34:H36)</f>
        <v>509.7</v>
      </c>
      <c r="I37" s="921"/>
      <c r="M37" s="685"/>
    </row>
    <row r="38" spans="1:13" ht="18" hidden="1" customHeight="1" thickTop="1">
      <c r="A38" s="808"/>
      <c r="B38" s="899"/>
      <c r="C38" s="809"/>
      <c r="D38" s="752"/>
      <c r="E38" s="428"/>
      <c r="G38" s="894"/>
      <c r="H38" s="811"/>
      <c r="I38" s="810"/>
    </row>
    <row r="39" spans="1:13" ht="17.25" customHeight="1" thickTop="1">
      <c r="A39" s="1134">
        <f ca="1">TODAY()</f>
        <v>44231</v>
      </c>
      <c r="B39" s="1134"/>
      <c r="E39" s="554"/>
      <c r="F39" s="554"/>
      <c r="G39" s="554"/>
      <c r="H39" s="864" t="s">
        <v>1517</v>
      </c>
      <c r="J39" s="554"/>
    </row>
    <row r="40" spans="1:13">
      <c r="A40" s="567"/>
      <c r="B40" s="934"/>
      <c r="C40" s="570"/>
      <c r="D40" s="570"/>
      <c r="E40" s="570"/>
      <c r="F40" s="570"/>
      <c r="G40" s="570"/>
      <c r="H40" s="570"/>
      <c r="I40" s="569"/>
      <c r="J40" s="554"/>
    </row>
  </sheetData>
  <mergeCells count="3">
    <mergeCell ref="A1:I1"/>
    <mergeCell ref="A2:I2"/>
    <mergeCell ref="A39:B39"/>
  </mergeCells>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53"/>
  <sheetViews>
    <sheetView showZeros="0" topLeftCell="A34" zoomScale="120" workbookViewId="0">
      <selection activeCell="J10" sqref="J10"/>
    </sheetView>
  </sheetViews>
  <sheetFormatPr defaultColWidth="9.140625" defaultRowHeight="12.75"/>
  <cols>
    <col min="1" max="1" width="1.7109375" style="460" customWidth="1"/>
    <col min="2" max="2" width="8.140625" style="416" customWidth="1"/>
    <col min="3" max="3" width="10.7109375" style="416" customWidth="1"/>
    <col min="4" max="4" width="10.85546875" style="416" customWidth="1"/>
    <col min="5" max="5" width="13.85546875" style="416" customWidth="1"/>
    <col min="6" max="6" width="10.42578125" style="416" customWidth="1"/>
    <col min="7" max="7" width="11.42578125" style="416" customWidth="1"/>
    <col min="8" max="8" width="11.140625" style="416" customWidth="1"/>
    <col min="9" max="9" width="1.85546875" style="476" customWidth="1"/>
    <col min="10" max="10" width="1.42578125" style="416" customWidth="1"/>
    <col min="11" max="11" width="22.7109375" style="416" customWidth="1"/>
    <col min="12" max="12" width="10.42578125" style="416" customWidth="1"/>
    <col min="13" max="13" width="17.7109375" style="416" customWidth="1"/>
    <col min="14" max="14" width="10.85546875" style="416" customWidth="1"/>
    <col min="15" max="16384" width="9.140625" style="416"/>
  </cols>
  <sheetData>
    <row r="1" spans="1:14" s="413" customFormat="1" ht="18.75" customHeight="1">
      <c r="A1" s="1108" t="s">
        <v>1511</v>
      </c>
      <c r="B1" s="1109"/>
      <c r="C1" s="1109"/>
      <c r="D1" s="1109"/>
      <c r="E1" s="1109"/>
      <c r="F1" s="1109"/>
      <c r="G1" s="1109"/>
      <c r="H1" s="1109"/>
      <c r="I1" s="1110"/>
      <c r="K1" s="1121" t="s">
        <v>1263</v>
      </c>
      <c r="L1" s="1121"/>
      <c r="M1" s="1121"/>
      <c r="N1" s="1121"/>
    </row>
    <row r="2" spans="1:14" ht="18" customHeight="1" thickBot="1">
      <c r="A2" s="1111" t="s">
        <v>562</v>
      </c>
      <c r="B2" s="1112"/>
      <c r="C2" s="1112"/>
      <c r="D2" s="1112"/>
      <c r="E2" s="1112"/>
      <c r="F2" s="1112"/>
      <c r="G2" s="1112"/>
      <c r="H2" s="1112"/>
      <c r="I2" s="1113"/>
      <c r="K2" s="416" t="s">
        <v>1254</v>
      </c>
      <c r="L2" s="416">
        <v>90000</v>
      </c>
      <c r="M2" s="416" t="s">
        <v>1261</v>
      </c>
      <c r="N2" s="416">
        <v>9500000</v>
      </c>
    </row>
    <row r="3" spans="1:14" ht="20.100000000000001" customHeight="1">
      <c r="A3" s="417"/>
      <c r="B3" s="418" t="s">
        <v>994</v>
      </c>
      <c r="C3" s="419"/>
      <c r="D3" s="419"/>
      <c r="E3" s="419"/>
      <c r="F3" s="419"/>
      <c r="G3" s="419"/>
      <c r="H3" s="501" t="s">
        <v>1013</v>
      </c>
      <c r="I3" s="470"/>
      <c r="K3" s="416" t="s">
        <v>1255</v>
      </c>
      <c r="L3" s="416">
        <v>8600000</v>
      </c>
      <c r="M3" s="416" t="s">
        <v>1373</v>
      </c>
      <c r="N3" s="416">
        <v>208000</v>
      </c>
    </row>
    <row r="4" spans="1:14" ht="15" customHeight="1">
      <c r="A4" s="420"/>
      <c r="B4" s="421"/>
      <c r="C4" s="422" t="s">
        <v>567</v>
      </c>
      <c r="D4" s="422"/>
      <c r="E4" s="431"/>
      <c r="F4" s="423"/>
      <c r="G4" s="411"/>
      <c r="H4" s="482"/>
      <c r="I4" s="471"/>
      <c r="K4" s="416" t="s">
        <v>1256</v>
      </c>
      <c r="L4" s="416">
        <v>790000</v>
      </c>
    </row>
    <row r="5" spans="1:14" ht="15" customHeight="1">
      <c r="A5" s="420"/>
      <c r="B5" s="415"/>
      <c r="C5" s="408" t="s">
        <v>848</v>
      </c>
      <c r="D5" s="415"/>
      <c r="E5" s="415"/>
      <c r="F5" s="415"/>
      <c r="G5" s="523"/>
      <c r="H5" s="482">
        <f>SUM(G4:G5)</f>
        <v>0</v>
      </c>
      <c r="I5" s="472"/>
      <c r="K5" s="416" t="s">
        <v>1257</v>
      </c>
      <c r="L5" s="416">
        <v>40000</v>
      </c>
    </row>
    <row r="6" spans="1:14" ht="15" customHeight="1">
      <c r="A6" s="420"/>
      <c r="B6" s="426" t="s">
        <v>995</v>
      </c>
      <c r="C6" s="415"/>
      <c r="D6" s="415"/>
      <c r="E6" s="525" t="s">
        <v>1014</v>
      </c>
      <c r="F6" s="423"/>
      <c r="G6" s="415"/>
      <c r="H6" s="482"/>
      <c r="I6" s="472"/>
      <c r="K6" s="416" t="s">
        <v>1259</v>
      </c>
      <c r="L6" s="713">
        <f>96000+15000</f>
        <v>111000</v>
      </c>
    </row>
    <row r="7" spans="1:14" ht="15" customHeight="1">
      <c r="A7" s="420"/>
      <c r="B7" s="426"/>
      <c r="C7" s="583" t="s">
        <v>1164</v>
      </c>
      <c r="D7" s="422"/>
      <c r="E7" s="672"/>
      <c r="F7" s="679"/>
      <c r="G7" s="411"/>
      <c r="H7" s="482"/>
      <c r="I7" s="472"/>
      <c r="K7" s="416" t="s">
        <v>1258</v>
      </c>
      <c r="L7" s="416">
        <v>18000</v>
      </c>
    </row>
    <row r="8" spans="1:14" ht="15" customHeight="1">
      <c r="A8" s="420"/>
      <c r="B8" s="426"/>
      <c r="C8" s="408" t="s">
        <v>769</v>
      </c>
      <c r="D8" s="415"/>
      <c r="E8" s="408" t="s">
        <v>1250</v>
      </c>
      <c r="F8" s="703"/>
      <c r="G8" s="479"/>
      <c r="H8" s="482"/>
      <c r="I8" s="472"/>
      <c r="K8" s="416" t="s">
        <v>1260</v>
      </c>
      <c r="L8" s="681">
        <v>32500</v>
      </c>
    </row>
    <row r="9" spans="1:14" ht="15" customHeight="1">
      <c r="A9" s="420"/>
      <c r="B9" s="426"/>
      <c r="C9" s="408"/>
      <c r="D9" s="415"/>
      <c r="E9" s="408"/>
      <c r="F9" s="415"/>
      <c r="G9" s="423">
        <f>IF((G7-G8)&lt;0,0,(G7-G8))</f>
        <v>0</v>
      </c>
      <c r="H9" s="482"/>
      <c r="I9" s="472"/>
      <c r="L9" s="690">
        <f>SUM(L2:L8)</f>
        <v>9681500</v>
      </c>
    </row>
    <row r="10" spans="1:14" ht="15" customHeight="1">
      <c r="A10" s="420"/>
      <c r="B10" s="426"/>
      <c r="C10" s="590" t="s">
        <v>514</v>
      </c>
      <c r="D10" s="415"/>
      <c r="E10" s="408" t="s">
        <v>1093</v>
      </c>
      <c r="F10" s="415">
        <f>G9*0.3</f>
        <v>0</v>
      </c>
      <c r="G10" s="423"/>
      <c r="H10" s="482"/>
      <c r="I10" s="472"/>
      <c r="K10" s="682" t="s">
        <v>1262</v>
      </c>
      <c r="L10" s="416">
        <f>L11-L9</f>
        <v>26500</v>
      </c>
    </row>
    <row r="11" spans="1:14" ht="15" customHeight="1" thickBot="1">
      <c r="A11" s="420"/>
      <c r="B11" s="426"/>
      <c r="D11" s="415"/>
      <c r="E11" s="434" t="s">
        <v>1094</v>
      </c>
      <c r="F11" s="681"/>
      <c r="G11" s="592">
        <f>F10+F11</f>
        <v>0</v>
      </c>
      <c r="H11" s="482">
        <f>G9-G11</f>
        <v>0</v>
      </c>
      <c r="I11" s="472"/>
      <c r="K11" s="712"/>
      <c r="L11" s="712">
        <f>+N11</f>
        <v>9708000</v>
      </c>
      <c r="M11" s="712"/>
      <c r="N11" s="712">
        <f>SUM(N2:N9)</f>
        <v>9708000</v>
      </c>
    </row>
    <row r="12" spans="1:14" ht="15" customHeight="1" thickTop="1">
      <c r="A12" s="420"/>
      <c r="B12" s="421" t="s">
        <v>996</v>
      </c>
      <c r="C12" s="408"/>
      <c r="D12" s="415"/>
      <c r="E12" s="429"/>
      <c r="F12" s="415"/>
      <c r="G12" s="415"/>
      <c r="H12" s="482"/>
      <c r="I12" s="472"/>
      <c r="K12" s="748" t="s">
        <v>1264</v>
      </c>
      <c r="L12" s="748"/>
      <c r="M12" s="748"/>
      <c r="N12" s="748"/>
    </row>
    <row r="13" spans="1:14" ht="15" customHeight="1">
      <c r="A13" s="420"/>
      <c r="B13" s="415"/>
      <c r="C13" s="408"/>
      <c r="D13" s="415"/>
      <c r="E13" s="700"/>
      <c r="F13" s="415">
        <f>G12*0.3</f>
        <v>0</v>
      </c>
      <c r="G13" s="701"/>
      <c r="H13" s="482"/>
      <c r="I13" s="472"/>
      <c r="K13" s="416" t="s">
        <v>1363</v>
      </c>
    </row>
    <row r="14" spans="1:14" ht="15" customHeight="1">
      <c r="A14" s="420"/>
      <c r="B14" s="415"/>
      <c r="C14" s="408" t="s">
        <v>1294</v>
      </c>
      <c r="D14" s="415"/>
      <c r="E14" s="429"/>
      <c r="F14" s="415"/>
      <c r="G14" s="479"/>
      <c r="H14" s="483">
        <f>+L25</f>
        <v>168075</v>
      </c>
      <c r="I14" s="472"/>
      <c r="K14" s="416" t="s">
        <v>1265</v>
      </c>
      <c r="L14" s="713">
        <f>96000+15000</f>
        <v>111000</v>
      </c>
    </row>
    <row r="15" spans="1:14" ht="15" customHeight="1">
      <c r="A15" s="420"/>
      <c r="B15" s="421" t="s">
        <v>997</v>
      </c>
      <c r="C15" s="415"/>
      <c r="D15" s="415"/>
      <c r="E15" s="415"/>
      <c r="F15" s="415"/>
      <c r="G15" s="415"/>
      <c r="H15" s="482"/>
      <c r="I15" s="472"/>
      <c r="L15" s="714"/>
    </row>
    <row r="16" spans="1:14" ht="13.5">
      <c r="A16" s="420"/>
      <c r="B16" s="415"/>
      <c r="C16" s="408" t="s">
        <v>498</v>
      </c>
      <c r="E16" s="408"/>
      <c r="F16" s="415"/>
      <c r="G16" s="701"/>
      <c r="H16" s="482"/>
      <c r="I16" s="472"/>
      <c r="K16" s="416" t="s">
        <v>1266</v>
      </c>
    </row>
    <row r="17" spans="1:14">
      <c r="A17" s="420"/>
      <c r="B17" s="702"/>
      <c r="C17" s="408" t="s">
        <v>77</v>
      </c>
      <c r="D17" s="408"/>
      <c r="E17" s="408"/>
      <c r="F17" s="415"/>
      <c r="G17" s="479"/>
      <c r="H17" s="482">
        <f>G16+G17</f>
        <v>0</v>
      </c>
      <c r="I17" s="472"/>
      <c r="K17" s="416" t="s">
        <v>1267</v>
      </c>
      <c r="L17" s="716">
        <v>25000</v>
      </c>
    </row>
    <row r="18" spans="1:14" ht="20.100000000000001" customHeight="1">
      <c r="A18" s="420"/>
      <c r="B18" s="421" t="s">
        <v>998</v>
      </c>
      <c r="C18" s="415"/>
      <c r="D18" s="415"/>
      <c r="E18" s="415"/>
      <c r="F18" s="415"/>
      <c r="G18" s="415"/>
      <c r="H18" s="482"/>
      <c r="I18" s="471"/>
      <c r="K18" s="715" t="s">
        <v>1268</v>
      </c>
    </row>
    <row r="19" spans="1:14" ht="13.5">
      <c r="A19" s="420"/>
      <c r="B19" s="636"/>
      <c r="C19" s="431" t="s">
        <v>1247</v>
      </c>
      <c r="D19" s="431"/>
      <c r="E19" s="431"/>
      <c r="F19" s="415"/>
      <c r="G19" s="411">
        <v>25000</v>
      </c>
      <c r="H19" s="482"/>
      <c r="I19" s="471"/>
      <c r="K19" s="1135" t="s">
        <v>1269</v>
      </c>
      <c r="L19" s="1135"/>
      <c r="M19" s="1135"/>
      <c r="N19" s="1135"/>
    </row>
    <row r="20" spans="1:14" ht="13.5">
      <c r="A20" s="420"/>
      <c r="B20" s="636"/>
      <c r="C20" s="431" t="s">
        <v>1248</v>
      </c>
      <c r="D20" s="431"/>
      <c r="E20" s="422"/>
      <c r="G20" s="411">
        <v>100000</v>
      </c>
      <c r="H20" s="482"/>
      <c r="I20" s="471"/>
      <c r="K20" s="416" t="s">
        <v>1270</v>
      </c>
      <c r="L20" s="416">
        <f>+L10</f>
        <v>26500</v>
      </c>
    </row>
    <row r="21" spans="1:14" ht="13.5">
      <c r="A21" s="420"/>
      <c r="B21" s="589"/>
      <c r="C21" s="431" t="s">
        <v>1190</v>
      </c>
      <c r="E21" s="704">
        <v>42080</v>
      </c>
      <c r="F21" s="408"/>
      <c r="G21" s="462">
        <f>ROUND(76000*0.0868,0)</f>
        <v>6597</v>
      </c>
      <c r="H21" s="482"/>
      <c r="I21" s="471"/>
      <c r="K21" s="416" t="s">
        <v>1271</v>
      </c>
      <c r="L21" s="416">
        <f>+L8</f>
        <v>32500</v>
      </c>
    </row>
    <row r="22" spans="1:14" ht="15" customHeight="1">
      <c r="A22" s="420"/>
      <c r="B22" s="589"/>
      <c r="C22" s="431"/>
      <c r="D22" s="434"/>
      <c r="E22" s="433"/>
      <c r="F22" s="433"/>
      <c r="G22" s="480">
        <f>SUM(G19:G21)</f>
        <v>131597</v>
      </c>
      <c r="H22" s="482"/>
      <c r="I22" s="471"/>
      <c r="K22" s="416" t="s">
        <v>1272</v>
      </c>
      <c r="L22" s="416">
        <f>+N41*-1</f>
        <v>-26925</v>
      </c>
    </row>
    <row r="23" spans="1:14" ht="15" customHeight="1">
      <c r="A23" s="420"/>
      <c r="B23" s="589"/>
      <c r="C23" s="415"/>
      <c r="D23" s="415"/>
      <c r="E23" s="415"/>
      <c r="F23" s="415"/>
      <c r="G23" s="437"/>
      <c r="H23" s="482">
        <f>+G22</f>
        <v>131597</v>
      </c>
      <c r="I23" s="472"/>
      <c r="K23" s="416" t="s">
        <v>1276</v>
      </c>
      <c r="L23" s="416">
        <f>+L14+L15</f>
        <v>111000</v>
      </c>
    </row>
    <row r="24" spans="1:14" ht="15" customHeight="1">
      <c r="A24" s="420"/>
      <c r="B24" s="428"/>
      <c r="C24" s="435"/>
      <c r="D24" s="436"/>
      <c r="E24" s="415"/>
      <c r="F24" s="444"/>
      <c r="G24" s="437"/>
      <c r="H24" s="484"/>
      <c r="I24" s="534"/>
      <c r="K24" s="416" t="s">
        <v>1371</v>
      </c>
      <c r="L24" s="416">
        <f>+L17</f>
        <v>25000</v>
      </c>
    </row>
    <row r="25" spans="1:14" ht="15" customHeight="1">
      <c r="A25" s="420"/>
      <c r="B25" s="421" t="s">
        <v>501</v>
      </c>
      <c r="C25" s="415"/>
      <c r="D25" s="415"/>
      <c r="E25" s="428"/>
      <c r="F25" s="428"/>
      <c r="G25" s="424"/>
      <c r="H25" s="485">
        <f>SUM(H5:H23)</f>
        <v>299672</v>
      </c>
      <c r="I25" s="472"/>
      <c r="K25" s="416" t="s">
        <v>1277</v>
      </c>
      <c r="L25" s="718">
        <f>SUM(L20:L24)</f>
        <v>168075</v>
      </c>
    </row>
    <row r="26" spans="1:14" ht="15" customHeight="1">
      <c r="A26" s="420" t="s">
        <v>1275</v>
      </c>
      <c r="B26" s="445" t="s">
        <v>999</v>
      </c>
      <c r="C26" s="415"/>
      <c r="D26" s="415"/>
      <c r="E26" s="415"/>
      <c r="F26" s="415"/>
      <c r="G26" s="415"/>
      <c r="H26" s="482"/>
      <c r="I26" s="471"/>
      <c r="K26" s="1123" t="s">
        <v>1279</v>
      </c>
      <c r="L26" s="1123"/>
      <c r="M26" s="1123"/>
      <c r="N26" s="1123"/>
    </row>
    <row r="27" spans="1:14" ht="15" customHeight="1">
      <c r="A27" s="420"/>
      <c r="B27" s="446"/>
      <c r="C27" s="435" t="s">
        <v>1080</v>
      </c>
      <c r="D27" s="415"/>
      <c r="E27" s="415"/>
      <c r="F27" s="415"/>
      <c r="G27" s="423"/>
      <c r="H27" s="482"/>
      <c r="I27" s="471"/>
      <c r="K27" s="416" t="s">
        <v>1280</v>
      </c>
      <c r="M27" s="416" t="s">
        <v>1282</v>
      </c>
    </row>
    <row r="28" spans="1:14" ht="15" customHeight="1">
      <c r="A28" s="420"/>
      <c r="B28" s="446"/>
      <c r="C28" s="431" t="s">
        <v>1081</v>
      </c>
      <c r="D28" s="415"/>
      <c r="E28" s="415"/>
      <c r="F28" s="411">
        <v>50000</v>
      </c>
      <c r="G28" s="423"/>
      <c r="H28" s="482"/>
      <c r="I28" s="471"/>
      <c r="K28" s="416" t="s">
        <v>1281</v>
      </c>
      <c r="L28" s="416">
        <v>29000000</v>
      </c>
      <c r="M28" s="416" t="s">
        <v>1284</v>
      </c>
      <c r="N28" s="416">
        <f>(140000+12500)+41000</f>
        <v>193500</v>
      </c>
    </row>
    <row r="29" spans="1:14" ht="12.75" customHeight="1">
      <c r="A29" s="420"/>
      <c r="B29" s="446"/>
      <c r="C29" s="431" t="s">
        <v>1190</v>
      </c>
      <c r="D29" s="415"/>
      <c r="E29" s="704">
        <v>42080</v>
      </c>
      <c r="F29" s="411">
        <v>6597</v>
      </c>
      <c r="G29" s="423"/>
      <c r="H29" s="482"/>
      <c r="I29" s="471"/>
      <c r="K29" s="416" t="s">
        <v>1282</v>
      </c>
      <c r="M29" s="416" t="s">
        <v>1285</v>
      </c>
      <c r="N29" s="416">
        <f>+L8*-1</f>
        <v>-32500</v>
      </c>
    </row>
    <row r="30" spans="1:14" ht="15" customHeight="1">
      <c r="A30" s="420"/>
      <c r="B30" s="446"/>
      <c r="C30" s="431" t="s">
        <v>509</v>
      </c>
      <c r="D30" s="415"/>
      <c r="E30" s="415"/>
      <c r="F30" s="411">
        <v>94000</v>
      </c>
      <c r="G30" s="423"/>
      <c r="H30" s="482"/>
      <c r="I30" s="471"/>
      <c r="K30" s="416" t="s">
        <v>1283</v>
      </c>
      <c r="L30" s="416">
        <v>1510000</v>
      </c>
      <c r="M30" s="416" t="s">
        <v>1286</v>
      </c>
      <c r="N30" s="416">
        <v>22519000</v>
      </c>
    </row>
    <row r="31" spans="1:14" ht="15" customHeight="1">
      <c r="A31" s="420"/>
      <c r="B31" s="446"/>
      <c r="C31" s="431"/>
      <c r="D31" s="415"/>
      <c r="E31" s="415"/>
      <c r="F31" s="448">
        <f>SUM(F28:F30)</f>
        <v>150597</v>
      </c>
      <c r="G31" s="415">
        <f>IF(F31&gt;150000,150000,F31)</f>
        <v>150000</v>
      </c>
      <c r="H31" s="482"/>
      <c r="I31" s="471"/>
      <c r="L31" s="711"/>
      <c r="M31" s="719" t="s">
        <v>1290</v>
      </c>
    </row>
    <row r="32" spans="1:14" ht="15" customHeight="1">
      <c r="A32" s="420"/>
      <c r="B32" s="446"/>
      <c r="C32" s="449" t="s">
        <v>1249</v>
      </c>
      <c r="D32" s="415"/>
      <c r="E32" s="415"/>
      <c r="F32" s="415"/>
      <c r="G32" s="411">
        <v>50000</v>
      </c>
      <c r="H32" s="482"/>
      <c r="I32" s="471"/>
      <c r="M32" s="416" t="s">
        <v>1372</v>
      </c>
      <c r="N32" s="416">
        <v>208000</v>
      </c>
    </row>
    <row r="33" spans="1:14" ht="15" customHeight="1">
      <c r="A33" s="420"/>
      <c r="B33" s="415"/>
      <c r="C33" s="449" t="s">
        <v>979</v>
      </c>
      <c r="D33" s="415"/>
      <c r="E33" s="428"/>
      <c r="F33" s="428"/>
      <c r="G33" s="447">
        <f>IF(G19&gt;10000, 10000, G19)</f>
        <v>10000</v>
      </c>
      <c r="H33" s="482"/>
      <c r="I33" s="471"/>
      <c r="M33" s="416" t="s">
        <v>1287</v>
      </c>
      <c r="N33" s="416">
        <v>6600000</v>
      </c>
    </row>
    <row r="34" spans="1:14">
      <c r="A34" s="420"/>
      <c r="B34" s="415"/>
      <c r="C34" s="543" t="s">
        <v>853</v>
      </c>
      <c r="D34" s="415"/>
      <c r="E34" s="428"/>
      <c r="F34" s="428"/>
      <c r="G34" s="411"/>
      <c r="H34" s="482">
        <f>SUM(G31:G34)</f>
        <v>210000</v>
      </c>
      <c r="I34" s="472"/>
      <c r="M34" s="416" t="s">
        <v>1288</v>
      </c>
      <c r="N34" s="416">
        <v>190000</v>
      </c>
    </row>
    <row r="35" spans="1:14" ht="15.75" customHeight="1" thickBot="1">
      <c r="A35" s="420"/>
      <c r="B35" s="451" t="s">
        <v>777</v>
      </c>
      <c r="C35" s="415"/>
      <c r="D35" s="415"/>
      <c r="E35" s="452">
        <f>IF((H25-H34)&lt;0,0,(H25-H34))</f>
        <v>89672</v>
      </c>
      <c r="F35" s="453" t="s">
        <v>779</v>
      </c>
      <c r="G35" s="440"/>
      <c r="H35" s="486">
        <f>ROUND((E35/10),0)*10</f>
        <v>89670</v>
      </c>
      <c r="I35" s="475"/>
      <c r="M35" s="416" t="s">
        <v>1289</v>
      </c>
      <c r="N35" s="416">
        <v>832000</v>
      </c>
    </row>
    <row r="36" spans="1:14" ht="15" customHeight="1" thickTop="1" thickBot="1">
      <c r="A36" s="420"/>
      <c r="B36" s="450" t="s">
        <v>778</v>
      </c>
      <c r="C36" s="415"/>
      <c r="D36" s="415"/>
      <c r="E36" s="444" t="s">
        <v>521</v>
      </c>
      <c r="F36" s="454" t="s">
        <v>522</v>
      </c>
      <c r="G36" s="444" t="s">
        <v>524</v>
      </c>
      <c r="H36" s="487"/>
      <c r="I36" s="471"/>
      <c r="K36" s="712"/>
      <c r="L36" s="712">
        <f>SUM(L28:L34)</f>
        <v>30510000</v>
      </c>
      <c r="M36" s="712"/>
      <c r="N36" s="712">
        <f>SUM(N28:N35)</f>
        <v>30510000</v>
      </c>
    </row>
    <row r="37" spans="1:14" ht="15" customHeight="1" thickTop="1">
      <c r="A37" s="420"/>
      <c r="B37" s="530"/>
      <c r="C37" s="408" t="s">
        <v>518</v>
      </c>
      <c r="D37" s="415"/>
      <c r="E37" s="455">
        <f>H35</f>
        <v>89670</v>
      </c>
      <c r="F37" s="456"/>
      <c r="G37" s="415">
        <f>IF(+Data!D2="Senior",ROUND(IF(E37&gt;1000000,(((E37-1000000)*0.3)+120000),IF(E37&gt;500000,(((E37-500000)*0.2)+20000),IF(E37&gt;300000,((E37-300000)*0.1),0))),0),ROUND(IF(E37&gt;1000000,(((E37-1000000)*0.3)+125000),IF(E37&gt;500000,(((E37-500000)*0.2)+25000),IF(E37&gt;250000,((E37-250000)*0.1),0))),0))</f>
        <v>0</v>
      </c>
      <c r="H37" s="487"/>
      <c r="I37" s="471"/>
      <c r="K37" s="1120" t="s">
        <v>1278</v>
      </c>
      <c r="L37" s="1120"/>
      <c r="M37" s="1120"/>
      <c r="N37" s="1120"/>
    </row>
    <row r="38" spans="1:14" ht="15" customHeight="1">
      <c r="A38" s="420"/>
      <c r="C38" s="524"/>
      <c r="D38" s="456"/>
      <c r="E38" s="428"/>
      <c r="F38" s="415"/>
      <c r="G38" s="527"/>
      <c r="H38" s="489">
        <f>+G37</f>
        <v>0</v>
      </c>
      <c r="I38" s="472"/>
      <c r="K38" s="36" t="s">
        <v>1291</v>
      </c>
      <c r="L38" s="36">
        <v>41000</v>
      </c>
      <c r="M38" s="721" t="s">
        <v>1273</v>
      </c>
      <c r="N38" s="36">
        <f>41000*0.6/2</f>
        <v>12300</v>
      </c>
    </row>
    <row r="39" spans="1:14" ht="15" customHeight="1">
      <c r="A39" s="420"/>
      <c r="B39" s="408" t="s">
        <v>774</v>
      </c>
      <c r="C39" s="415"/>
      <c r="D39" s="456"/>
      <c r="E39" s="428"/>
      <c r="F39" s="415"/>
      <c r="G39" s="428"/>
      <c r="H39" s="489">
        <f>ROUND((H38)*0.02,0)</f>
        <v>0</v>
      </c>
      <c r="I39" s="472"/>
      <c r="K39" s="36" t="s">
        <v>1292</v>
      </c>
      <c r="L39" s="36">
        <v>140000</v>
      </c>
      <c r="M39" s="721">
        <v>0.1</v>
      </c>
      <c r="N39" s="36">
        <f>L39*M39</f>
        <v>14000</v>
      </c>
    </row>
    <row r="40" spans="1:14" ht="15" customHeight="1">
      <c r="A40" s="420"/>
      <c r="B40" s="408" t="s">
        <v>775</v>
      </c>
      <c r="C40" s="415"/>
      <c r="D40" s="456"/>
      <c r="E40" s="458"/>
      <c r="F40" s="415"/>
      <c r="G40" s="428"/>
      <c r="H40" s="528">
        <f>ROUND((H38)*0.01,0)</f>
        <v>0</v>
      </c>
      <c r="I40" s="474"/>
      <c r="K40" s="36" t="s">
        <v>1293</v>
      </c>
      <c r="L40" s="36">
        <v>12500</v>
      </c>
      <c r="M40" s="721" t="s">
        <v>1274</v>
      </c>
      <c r="N40" s="36">
        <f>L40*0.1/2</f>
        <v>625</v>
      </c>
    </row>
    <row r="41" spans="1:14" ht="15" customHeight="1" thickBot="1">
      <c r="A41" s="420"/>
      <c r="B41" s="450" t="s">
        <v>565</v>
      </c>
      <c r="C41" s="415"/>
      <c r="D41" s="456"/>
      <c r="E41" s="458"/>
      <c r="F41" s="415"/>
      <c r="G41" s="428"/>
      <c r="H41" s="488">
        <f>SUM(H38:H40)</f>
        <v>0</v>
      </c>
      <c r="I41" s="472"/>
      <c r="K41" s="36"/>
      <c r="L41" s="36"/>
      <c r="M41" s="36"/>
      <c r="N41" s="720">
        <f>SUM(N38:N40)</f>
        <v>26925</v>
      </c>
    </row>
    <row r="42" spans="1:14" ht="15" customHeight="1" thickTop="1">
      <c r="A42" s="420"/>
      <c r="B42" s="421" t="s">
        <v>571</v>
      </c>
      <c r="C42" s="428"/>
      <c r="D42" s="428"/>
      <c r="E42" s="428"/>
      <c r="F42" s="428"/>
      <c r="G42" s="428"/>
      <c r="H42" s="490"/>
      <c r="I42" s="471"/>
    </row>
    <row r="43" spans="1:14" ht="15" customHeight="1">
      <c r="A43" s="420"/>
      <c r="B43" s="667"/>
      <c r="C43" s="1115" t="s">
        <v>993</v>
      </c>
      <c r="D43" s="1115"/>
      <c r="E43" s="705">
        <v>42263</v>
      </c>
      <c r="F43" s="850"/>
      <c r="G43" s="447">
        <v>15000</v>
      </c>
      <c r="H43" s="482"/>
      <c r="I43" s="472"/>
      <c r="K43" s="682" t="s">
        <v>1368</v>
      </c>
      <c r="L43" s="749"/>
      <c r="M43" s="682" t="s">
        <v>1369</v>
      </c>
      <c r="N43" s="749"/>
    </row>
    <row r="44" spans="1:14" ht="15" customHeight="1">
      <c r="A44" s="420"/>
      <c r="B44" s="588"/>
      <c r="C44" s="1115" t="s">
        <v>1251</v>
      </c>
      <c r="D44" s="1115"/>
      <c r="E44" s="850" t="s">
        <v>1253</v>
      </c>
      <c r="F44" s="850"/>
      <c r="G44" s="410">
        <v>270000</v>
      </c>
      <c r="H44" s="482"/>
      <c r="I44" s="472"/>
      <c r="K44" s="416" t="s">
        <v>1366</v>
      </c>
      <c r="M44" s="416" t="s">
        <v>1370</v>
      </c>
    </row>
    <row r="45" spans="1:14" ht="15" customHeight="1">
      <c r="A45" s="420"/>
      <c r="B45" s="588"/>
      <c r="C45" s="1115" t="s">
        <v>1192</v>
      </c>
      <c r="D45" s="1115"/>
      <c r="E45" s="705">
        <v>42551</v>
      </c>
      <c r="F45" s="850"/>
      <c r="G45" s="410">
        <v>90000</v>
      </c>
      <c r="H45" s="482"/>
      <c r="I45" s="472"/>
      <c r="K45" s="416" t="s">
        <v>1364</v>
      </c>
      <c r="M45" s="416" t="s">
        <v>1365</v>
      </c>
    </row>
    <row r="46" spans="1:14" ht="12.75" customHeight="1" thickBot="1">
      <c r="A46" s="414"/>
      <c r="B46" s="477"/>
      <c r="C46" s="1117"/>
      <c r="D46" s="1117"/>
      <c r="E46" s="709"/>
      <c r="F46" s="851"/>
      <c r="G46" s="481"/>
      <c r="H46" s="493">
        <f>SUM(G43:G46)</f>
        <v>375000</v>
      </c>
      <c r="I46" s="478"/>
      <c r="M46" s="416" t="s">
        <v>1367</v>
      </c>
    </row>
    <row r="47" spans="1:14" ht="18" customHeight="1" thickBot="1">
      <c r="A47" s="494"/>
      <c r="B47" s="710" t="str">
        <f>IF(H47=0,"TAX  PAYABLE / REFUND ",IF(H47&lt;0,"REFUND","TAX  PAYABLE"))</f>
        <v>REFUND</v>
      </c>
      <c r="C47" s="706"/>
      <c r="D47" s="747">
        <v>42570</v>
      </c>
      <c r="E47" s="707"/>
      <c r="F47" s="708" t="s">
        <v>776</v>
      </c>
      <c r="G47" s="497"/>
      <c r="H47" s="499">
        <f>H41-H46</f>
        <v>-375000</v>
      </c>
      <c r="I47" s="500"/>
    </row>
    <row r="48" spans="1:14">
      <c r="A48" s="567"/>
      <c r="B48" s="570"/>
      <c r="C48" s="570"/>
      <c r="D48" s="570"/>
      <c r="E48" s="570"/>
      <c r="F48" s="570"/>
      <c r="G48" s="570"/>
      <c r="H48" s="570"/>
      <c r="I48" s="569"/>
      <c r="J48" s="554"/>
    </row>
    <row r="49" spans="1:10">
      <c r="A49" s="567"/>
      <c r="E49" s="554"/>
      <c r="F49" s="554"/>
      <c r="G49" s="554"/>
      <c r="H49" s="554"/>
      <c r="I49" s="569"/>
      <c r="J49" s="554"/>
    </row>
    <row r="50" spans="1:10" ht="13.5">
      <c r="A50" s="567"/>
      <c r="C50" s="717"/>
      <c r="H50" s="554"/>
      <c r="I50" s="569"/>
      <c r="J50" s="554"/>
    </row>
    <row r="51" spans="1:10" ht="13.5">
      <c r="A51" s="567"/>
      <c r="C51" s="717"/>
      <c r="H51" s="554"/>
      <c r="I51" s="569"/>
      <c r="J51" s="554"/>
    </row>
    <row r="52" spans="1:10" ht="13.5">
      <c r="A52" s="567"/>
      <c r="B52" s="554"/>
      <c r="C52" s="717"/>
      <c r="H52" s="554"/>
      <c r="I52" s="569"/>
      <c r="J52" s="554"/>
    </row>
    <row r="53" spans="1:10">
      <c r="A53" s="567"/>
      <c r="B53" s="554"/>
      <c r="C53" s="554"/>
      <c r="H53" s="554"/>
      <c r="I53" s="569"/>
      <c r="J53" s="554"/>
    </row>
  </sheetData>
  <mergeCells count="10">
    <mergeCell ref="C43:D43"/>
    <mergeCell ref="C44:D44"/>
    <mergeCell ref="C45:D45"/>
    <mergeCell ref="C46:D46"/>
    <mergeCell ref="A1:I1"/>
    <mergeCell ref="K1:N1"/>
    <mergeCell ref="A2:I2"/>
    <mergeCell ref="K19:N19"/>
    <mergeCell ref="K26:N26"/>
    <mergeCell ref="K37:N37"/>
  </mergeCells>
  <dataValidations count="1">
    <dataValidation type="list" errorStyle="information" allowBlank="1" showInputMessage="1" showErrorMessage="1" sqref="D4">
      <formula1>"SALARY RECEIVED, PENSION RECEIVED"</formula1>
    </dataValidation>
  </dataValidations>
  <printOptions horizontalCentered="1" verticalCentered="1"/>
  <pageMargins left="0.39370078740157483" right="0.19685039370078741" top="0.19685039370078741" bottom="0.19685039370078741" header="0" footer="0"/>
  <pageSetup paperSize="9" orientation="portrait" r:id="rId1"/>
  <headerFooter alignWithMargins="0"/>
  <legacyDrawing r:id="rId2"/>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106"/>
  <sheetViews>
    <sheetView showZeros="0" zoomScale="120" workbookViewId="0">
      <selection activeCell="L19" sqref="L19"/>
    </sheetView>
  </sheetViews>
  <sheetFormatPr defaultColWidth="9.140625" defaultRowHeight="12.75"/>
  <cols>
    <col min="1" max="1" width="1.7109375" style="460" customWidth="1"/>
    <col min="2" max="2" width="9.28515625" style="416" customWidth="1"/>
    <col min="3" max="3" width="10.7109375" style="416" customWidth="1"/>
    <col min="4" max="4" width="10.85546875" style="416" customWidth="1"/>
    <col min="5" max="5" width="13.85546875" style="416" customWidth="1"/>
    <col min="6" max="6" width="10.42578125" style="416" customWidth="1"/>
    <col min="7" max="7" width="11.42578125" style="416" customWidth="1"/>
    <col min="8" max="8" width="11.140625" style="416" customWidth="1"/>
    <col min="9" max="9" width="1.85546875" style="476" customWidth="1"/>
    <col min="10" max="10" width="1.42578125" style="416" customWidth="1"/>
    <col min="11" max="11" width="9.140625" style="416"/>
    <col min="12" max="12" width="9.140625" style="416" customWidth="1"/>
    <col min="13" max="13" width="6.140625" style="416" customWidth="1"/>
    <col min="14" max="14" width="7.42578125" style="416" customWidth="1"/>
    <col min="15" max="16384" width="9.140625" style="416"/>
  </cols>
  <sheetData>
    <row r="1" spans="1:9" s="413" customFormat="1" ht="18.75" customHeight="1">
      <c r="A1" s="755"/>
      <c r="B1" s="1146" t="s">
        <v>1500</v>
      </c>
      <c r="C1" s="1146"/>
      <c r="D1" s="1146"/>
      <c r="E1" s="1146"/>
      <c r="F1" s="1146"/>
      <c r="G1" s="1146"/>
      <c r="H1" s="1146"/>
      <c r="I1" s="841"/>
    </row>
    <row r="2" spans="1:9" s="413" customFormat="1" ht="18.75" customHeight="1">
      <c r="A2" s="827"/>
      <c r="B2" s="830" t="s">
        <v>1497</v>
      </c>
      <c r="C2" s="828"/>
      <c r="D2" s="828"/>
      <c r="E2" s="830"/>
      <c r="F2" s="828"/>
      <c r="G2" s="828"/>
      <c r="H2" s="831">
        <f>50000*12*2</f>
        <v>1200000</v>
      </c>
      <c r="I2" s="829"/>
    </row>
    <row r="3" spans="1:9" s="413" customFormat="1" ht="18.75" customHeight="1">
      <c r="A3" s="827"/>
      <c r="B3" s="830" t="s">
        <v>1495</v>
      </c>
      <c r="C3" s="828"/>
      <c r="D3" s="828"/>
      <c r="E3" s="830"/>
      <c r="F3" s="828"/>
      <c r="G3" s="828"/>
      <c r="H3" s="831">
        <v>647400</v>
      </c>
      <c r="I3" s="829"/>
    </row>
    <row r="4" spans="1:9" s="413" customFormat="1" ht="18.75" customHeight="1">
      <c r="A4" s="827"/>
      <c r="B4" s="830" t="s">
        <v>1498</v>
      </c>
      <c r="C4" s="828"/>
      <c r="D4" s="828"/>
      <c r="E4" s="830"/>
      <c r="F4" s="828"/>
      <c r="G4" s="828"/>
      <c r="H4" s="831">
        <f>H3+72000-H2</f>
        <v>-480600</v>
      </c>
      <c r="I4" s="829"/>
    </row>
    <row r="5" spans="1:9" ht="18" customHeight="1" thickBot="1">
      <c r="A5" s="1111" t="s">
        <v>562</v>
      </c>
      <c r="B5" s="1112"/>
      <c r="C5" s="1112"/>
      <c r="D5" s="1112"/>
      <c r="E5" s="1112"/>
      <c r="F5" s="1112"/>
      <c r="G5" s="1112"/>
      <c r="H5" s="1112"/>
      <c r="I5" s="1113"/>
    </row>
    <row r="6" spans="1:9" ht="16.5" customHeight="1">
      <c r="A6" s="417"/>
      <c r="B6" s="418" t="s">
        <v>994</v>
      </c>
      <c r="C6" s="419"/>
      <c r="D6" s="419"/>
      <c r="E6" s="419"/>
      <c r="F6" s="419"/>
      <c r="G6" s="419"/>
      <c r="H6" s="501" t="s">
        <v>1013</v>
      </c>
      <c r="I6" s="470"/>
    </row>
    <row r="7" spans="1:9" ht="15" customHeight="1">
      <c r="A7" s="420"/>
      <c r="B7" s="421"/>
      <c r="C7" s="422" t="s">
        <v>567</v>
      </c>
      <c r="D7" s="422"/>
      <c r="E7" s="431"/>
      <c r="F7" s="423"/>
      <c r="G7" s="411"/>
      <c r="H7" s="482"/>
      <c r="I7" s="471"/>
    </row>
    <row r="8" spans="1:9" ht="15" customHeight="1">
      <c r="A8" s="420"/>
      <c r="B8" s="415"/>
      <c r="C8" s="408" t="s">
        <v>848</v>
      </c>
      <c r="D8" s="415"/>
      <c r="E8" s="415"/>
      <c r="F8" s="415"/>
      <c r="G8" s="523"/>
      <c r="H8" s="482">
        <f>SUM(G7:G8)</f>
        <v>0</v>
      </c>
      <c r="I8" s="472"/>
    </row>
    <row r="9" spans="1:9" ht="15" customHeight="1">
      <c r="A9" s="420"/>
      <c r="B9" s="426" t="s">
        <v>995</v>
      </c>
      <c r="C9" s="415"/>
      <c r="D9" s="415"/>
      <c r="E9" s="525" t="s">
        <v>1014</v>
      </c>
      <c r="F9" s="423"/>
      <c r="G9" s="415"/>
      <c r="H9" s="482"/>
      <c r="I9" s="472"/>
    </row>
    <row r="10" spans="1:9" ht="15" customHeight="1">
      <c r="A10" s="420"/>
      <c r="B10" s="426"/>
      <c r="C10" s="583" t="s">
        <v>1164</v>
      </c>
      <c r="D10" s="422"/>
      <c r="E10" s="672"/>
      <c r="F10" s="679"/>
      <c r="G10" s="411"/>
      <c r="H10" s="482"/>
      <c r="I10" s="472"/>
    </row>
    <row r="11" spans="1:9" ht="15" hidden="1" customHeight="1">
      <c r="A11" s="420"/>
      <c r="B11" s="426"/>
      <c r="C11" s="408" t="s">
        <v>769</v>
      </c>
      <c r="D11" s="415"/>
      <c r="E11" s="408"/>
      <c r="F11" s="703"/>
      <c r="G11" s="479"/>
      <c r="H11" s="482"/>
      <c r="I11" s="472"/>
    </row>
    <row r="12" spans="1:9" ht="15" hidden="1" customHeight="1">
      <c r="A12" s="420"/>
      <c r="B12" s="426"/>
      <c r="C12" s="408"/>
      <c r="D12" s="415"/>
      <c r="E12" s="408"/>
      <c r="F12" s="415"/>
      <c r="G12" s="423">
        <f>IF((G10-G11)&lt;0,0,(G10-G11))</f>
        <v>0</v>
      </c>
      <c r="H12" s="482"/>
      <c r="I12" s="472"/>
    </row>
    <row r="13" spans="1:9" ht="15" customHeight="1">
      <c r="A13" s="420"/>
      <c r="B13" s="426"/>
      <c r="C13" s="590" t="s">
        <v>514</v>
      </c>
      <c r="D13" s="415"/>
      <c r="E13" s="408"/>
      <c r="F13" s="415">
        <f>G12*0.3</f>
        <v>0</v>
      </c>
      <c r="G13" s="767"/>
      <c r="H13" s="482"/>
      <c r="I13" s="472"/>
    </row>
    <row r="14" spans="1:9" ht="15" hidden="1" customHeight="1">
      <c r="A14" s="420"/>
      <c r="B14" s="426"/>
      <c r="D14" s="415"/>
      <c r="E14" s="434"/>
      <c r="F14" s="681"/>
      <c r="G14" s="592">
        <f>F13+F14</f>
        <v>0</v>
      </c>
      <c r="H14" s="482">
        <f>G12-G14</f>
        <v>0</v>
      </c>
      <c r="I14" s="472"/>
    </row>
    <row r="15" spans="1:9" ht="15" customHeight="1">
      <c r="A15" s="420"/>
      <c r="B15" s="421" t="s">
        <v>996</v>
      </c>
      <c r="C15" s="408"/>
      <c r="D15" s="415"/>
      <c r="E15" s="429"/>
      <c r="F15" s="415"/>
      <c r="G15" s="415"/>
      <c r="H15" s="482"/>
      <c r="I15" s="472"/>
    </row>
    <row r="16" spans="1:9" ht="15" customHeight="1">
      <c r="A16" s="420"/>
      <c r="C16" s="408" t="s">
        <v>1434</v>
      </c>
      <c r="D16" s="415"/>
      <c r="F16" s="415">
        <f>+G67</f>
        <v>-480600</v>
      </c>
      <c r="G16" s="415"/>
      <c r="H16" s="482"/>
      <c r="I16" s="472"/>
    </row>
    <row r="17" spans="1:9" ht="15" customHeight="1">
      <c r="A17" s="420"/>
      <c r="C17" s="842" t="s">
        <v>1496</v>
      </c>
      <c r="D17" s="415"/>
      <c r="F17" s="845">
        <v>735036</v>
      </c>
      <c r="G17" s="415"/>
      <c r="H17" s="482"/>
      <c r="I17" s="472"/>
    </row>
    <row r="18" spans="1:9" ht="15" customHeight="1">
      <c r="A18" s="420"/>
      <c r="B18" s="415"/>
      <c r="C18" s="408" t="s">
        <v>1472</v>
      </c>
      <c r="D18" s="415"/>
      <c r="E18" s="700"/>
      <c r="F18" s="415">
        <f>+G68+G69+G71+G72</f>
        <v>99000</v>
      </c>
      <c r="G18" s="415"/>
      <c r="H18" s="482"/>
      <c r="I18" s="472"/>
    </row>
    <row r="19" spans="1:9" ht="15" customHeight="1">
      <c r="A19" s="420"/>
      <c r="B19" s="415"/>
      <c r="C19" s="408" t="s">
        <v>1470</v>
      </c>
      <c r="D19" s="415"/>
      <c r="E19" s="700"/>
      <c r="F19" s="415">
        <f>+H70*-1</f>
        <v>-2000</v>
      </c>
      <c r="G19" s="415"/>
      <c r="H19" s="482"/>
      <c r="I19" s="472"/>
    </row>
    <row r="20" spans="1:9" ht="15" customHeight="1">
      <c r="A20" s="420"/>
      <c r="B20" s="415"/>
      <c r="C20" s="408" t="s">
        <v>1471</v>
      </c>
      <c r="D20" s="428">
        <f>+G74</f>
        <v>2000</v>
      </c>
      <c r="E20" s="428">
        <f>+H75</f>
        <v>193460</v>
      </c>
      <c r="F20" s="681">
        <f>D20-E20</f>
        <v>-191460</v>
      </c>
      <c r="G20" s="840">
        <f>F16+F18+F19+F20+F17</f>
        <v>159976</v>
      </c>
      <c r="H20" s="483"/>
      <c r="I20" s="472"/>
    </row>
    <row r="21" spans="1:9" ht="15" customHeight="1">
      <c r="A21" s="420"/>
      <c r="B21" s="846" t="s">
        <v>1502</v>
      </c>
      <c r="C21" s="408"/>
      <c r="F21" s="415"/>
      <c r="G21" s="415"/>
      <c r="H21" s="483">
        <f>+G20</f>
        <v>159976</v>
      </c>
      <c r="I21" s="472"/>
    </row>
    <row r="22" spans="1:9" ht="15" customHeight="1">
      <c r="A22" s="420"/>
      <c r="B22" s="421" t="s">
        <v>997</v>
      </c>
      <c r="C22" s="415"/>
      <c r="D22" s="415"/>
      <c r="E22" s="415"/>
      <c r="F22" s="415"/>
      <c r="G22" s="415"/>
      <c r="H22" s="482"/>
      <c r="I22" s="472"/>
    </row>
    <row r="23" spans="1:9" ht="15" customHeight="1">
      <c r="A23" s="420"/>
      <c r="B23" s="421"/>
      <c r="C23" s="408" t="s">
        <v>498</v>
      </c>
      <c r="D23" s="415"/>
      <c r="E23" s="415"/>
      <c r="F23" s="415"/>
      <c r="G23" s="415"/>
      <c r="H23" s="482"/>
      <c r="I23" s="472"/>
    </row>
    <row r="24" spans="1:9">
      <c r="A24" s="420"/>
      <c r="B24" s="415"/>
      <c r="C24" s="408" t="s">
        <v>77</v>
      </c>
      <c r="E24" s="408"/>
      <c r="F24" s="415"/>
      <c r="G24" s="592"/>
      <c r="H24" s="482"/>
      <c r="I24" s="472"/>
    </row>
    <row r="25" spans="1:9" ht="20.100000000000001" customHeight="1">
      <c r="A25" s="420"/>
      <c r="B25" s="421" t="s">
        <v>998</v>
      </c>
      <c r="C25" s="415"/>
      <c r="D25" s="415"/>
      <c r="E25" s="415"/>
      <c r="F25" s="415"/>
      <c r="G25" s="415"/>
      <c r="H25" s="482"/>
      <c r="I25" s="471"/>
    </row>
    <row r="26" spans="1:9" ht="13.5">
      <c r="A26" s="420"/>
      <c r="B26" s="636"/>
      <c r="C26" s="431"/>
      <c r="D26" s="431"/>
      <c r="E26" s="431"/>
      <c r="F26" s="415"/>
      <c r="G26" s="411"/>
      <c r="H26" s="482"/>
      <c r="I26" s="471"/>
    </row>
    <row r="27" spans="1:9" ht="13.5">
      <c r="A27" s="420"/>
      <c r="B27" s="589"/>
      <c r="C27" s="765"/>
      <c r="E27" s="704"/>
      <c r="F27" s="408"/>
      <c r="G27" s="462"/>
      <c r="H27" s="482"/>
      <c r="I27" s="471"/>
    </row>
    <row r="28" spans="1:9" ht="15" customHeight="1">
      <c r="A28" s="420"/>
      <c r="B28" s="589"/>
      <c r="C28" s="431"/>
      <c r="D28" s="434"/>
      <c r="E28" s="433"/>
      <c r="F28" s="433"/>
      <c r="G28" s="480">
        <f>SUM(G26:G27)</f>
        <v>0</v>
      </c>
      <c r="H28" s="482"/>
      <c r="I28" s="471"/>
    </row>
    <row r="29" spans="1:9" ht="15" hidden="1" customHeight="1">
      <c r="A29" s="420"/>
      <c r="B29" s="589"/>
      <c r="C29" s="415"/>
      <c r="D29" s="415"/>
      <c r="E29" s="415"/>
      <c r="F29" s="415"/>
      <c r="G29" s="437"/>
      <c r="H29" s="482">
        <f>+G28</f>
        <v>0</v>
      </c>
      <c r="I29" s="472"/>
    </row>
    <row r="30" spans="1:9" ht="15" hidden="1" customHeight="1">
      <c r="A30" s="420"/>
      <c r="B30" s="428"/>
      <c r="C30" s="435"/>
      <c r="D30" s="436"/>
      <c r="E30" s="415"/>
      <c r="F30" s="444"/>
      <c r="G30" s="437"/>
      <c r="H30" s="484"/>
      <c r="I30" s="534"/>
    </row>
    <row r="31" spans="1:9" ht="15" customHeight="1">
      <c r="A31" s="420"/>
      <c r="B31" s="421" t="s">
        <v>501</v>
      </c>
      <c r="C31" s="415"/>
      <c r="D31" s="415"/>
      <c r="E31" s="428"/>
      <c r="F31" s="428"/>
      <c r="G31" s="424"/>
      <c r="H31" s="485">
        <f>SUM(H8:H29)</f>
        <v>159976</v>
      </c>
      <c r="I31" s="472"/>
    </row>
    <row r="32" spans="1:9" ht="15" customHeight="1">
      <c r="A32" s="420" t="s">
        <v>1275</v>
      </c>
      <c r="B32" s="445" t="s">
        <v>999</v>
      </c>
      <c r="C32" s="415"/>
      <c r="D32" s="415"/>
      <c r="E32" s="415"/>
      <c r="F32" s="415"/>
      <c r="G32" s="415"/>
      <c r="H32" s="482"/>
      <c r="I32" s="471"/>
    </row>
    <row r="33" spans="1:13" ht="15" hidden="1" customHeight="1">
      <c r="A33" s="420"/>
      <c r="B33" s="446"/>
      <c r="C33" s="435"/>
      <c r="D33" s="415"/>
      <c r="E33" s="415"/>
      <c r="F33" s="415"/>
      <c r="G33" s="423"/>
      <c r="H33" s="482"/>
      <c r="I33" s="471"/>
    </row>
    <row r="34" spans="1:13" ht="15" hidden="1" customHeight="1">
      <c r="A34" s="420"/>
      <c r="B34" s="446"/>
      <c r="C34" s="431"/>
      <c r="D34" s="415"/>
      <c r="E34" s="415"/>
      <c r="F34" s="411"/>
      <c r="G34" s="423"/>
      <c r="H34" s="482"/>
      <c r="I34" s="471"/>
    </row>
    <row r="35" spans="1:13" ht="12.75" hidden="1" customHeight="1">
      <c r="A35" s="420"/>
      <c r="B35" s="446"/>
      <c r="C35" s="431"/>
      <c r="D35" s="415"/>
      <c r="E35" s="415"/>
      <c r="F35" s="411"/>
      <c r="G35" s="423"/>
      <c r="H35" s="482"/>
      <c r="I35" s="471"/>
    </row>
    <row r="36" spans="1:13" ht="15" hidden="1" customHeight="1">
      <c r="A36" s="420"/>
      <c r="B36" s="446"/>
      <c r="C36" s="431"/>
      <c r="D36" s="415"/>
      <c r="E36" s="415"/>
      <c r="F36" s="448">
        <f>SUM(F34:F35)</f>
        <v>0</v>
      </c>
      <c r="G36" s="415">
        <f>IF(F36&gt;150000,150000,F36)</f>
        <v>0</v>
      </c>
      <c r="H36" s="482"/>
      <c r="I36" s="471"/>
    </row>
    <row r="37" spans="1:13" ht="15" hidden="1" customHeight="1">
      <c r="A37" s="420"/>
      <c r="B37" s="446"/>
      <c r="C37" s="449"/>
      <c r="D37" s="415"/>
      <c r="E37" s="415"/>
      <c r="F37" s="415"/>
      <c r="G37" s="411"/>
      <c r="H37" s="482"/>
      <c r="I37" s="471"/>
    </row>
    <row r="38" spans="1:13" ht="15" hidden="1" customHeight="1">
      <c r="A38" s="420"/>
      <c r="B38" s="446"/>
      <c r="C38" s="449"/>
      <c r="H38" s="482"/>
      <c r="I38" s="471"/>
    </row>
    <row r="39" spans="1:13" ht="15" hidden="1" customHeight="1">
      <c r="A39" s="420"/>
      <c r="B39" s="446"/>
      <c r="C39" s="449"/>
      <c r="H39" s="482"/>
      <c r="I39" s="471"/>
    </row>
    <row r="40" spans="1:13" ht="15" customHeight="1">
      <c r="A40" s="420"/>
      <c r="B40" s="446"/>
      <c r="C40" s="449" t="s">
        <v>611</v>
      </c>
      <c r="G40" s="416">
        <v>50000</v>
      </c>
      <c r="H40" s="482"/>
      <c r="I40" s="471"/>
    </row>
    <row r="41" spans="1:13">
      <c r="A41" s="420"/>
      <c r="B41" s="415"/>
      <c r="C41" s="801" t="s">
        <v>1489</v>
      </c>
      <c r="D41" s="415"/>
      <c r="E41" s="428"/>
      <c r="F41" s="428"/>
      <c r="G41" s="411"/>
      <c r="H41" s="482">
        <f>+G40</f>
        <v>50000</v>
      </c>
      <c r="I41" s="472"/>
    </row>
    <row r="42" spans="1:13" ht="15.75" customHeight="1" thickBot="1">
      <c r="A42" s="420"/>
      <c r="B42" s="451" t="s">
        <v>777</v>
      </c>
      <c r="C42" s="415"/>
      <c r="D42" s="415"/>
      <c r="E42" s="452">
        <f>IF((H31-H41)&lt;0,0,(H31-H41))</f>
        <v>109976</v>
      </c>
      <c r="F42" s="453" t="s">
        <v>779</v>
      </c>
      <c r="G42" s="440"/>
      <c r="H42" s="486">
        <f>ROUND((E42/10),0)*10</f>
        <v>109980</v>
      </c>
      <c r="I42" s="475"/>
      <c r="M42" s="685"/>
    </row>
    <row r="43" spans="1:13" ht="15" customHeight="1" thickTop="1">
      <c r="A43" s="420"/>
      <c r="B43" s="450" t="s">
        <v>778</v>
      </c>
      <c r="C43" s="415"/>
      <c r="D43" s="415"/>
      <c r="E43" s="444" t="s">
        <v>521</v>
      </c>
      <c r="F43" s="454" t="s">
        <v>522</v>
      </c>
      <c r="G43" s="444" t="s">
        <v>524</v>
      </c>
      <c r="H43" s="487"/>
      <c r="I43" s="471"/>
    </row>
    <row r="44" spans="1:13" ht="15" customHeight="1">
      <c r="A44" s="420"/>
      <c r="B44" s="530"/>
      <c r="C44" s="408" t="s">
        <v>518</v>
      </c>
      <c r="D44" s="415"/>
      <c r="E44" s="455">
        <f>H42-E45</f>
        <v>109980</v>
      </c>
      <c r="F44" s="678">
        <v>0.3</v>
      </c>
      <c r="G44" s="415">
        <f>E44*F44</f>
        <v>32994</v>
      </c>
      <c r="H44" s="487"/>
      <c r="I44" s="471"/>
    </row>
    <row r="45" spans="1:13" ht="15" customHeight="1">
      <c r="A45" s="420"/>
      <c r="C45" s="408" t="s">
        <v>1435</v>
      </c>
      <c r="D45" s="415"/>
      <c r="E45" s="753"/>
      <c r="F45" s="678"/>
      <c r="G45" s="527">
        <f>ROUND(E45*F45,0)</f>
        <v>0</v>
      </c>
      <c r="H45" s="489">
        <f>+G44+G45</f>
        <v>32994</v>
      </c>
      <c r="I45" s="472"/>
    </row>
    <row r="46" spans="1:13" ht="15" customHeight="1">
      <c r="A46" s="420"/>
      <c r="B46" s="416" t="s">
        <v>1450</v>
      </c>
      <c r="C46" s="524"/>
      <c r="D46" s="678">
        <v>0.12</v>
      </c>
      <c r="E46" s="753" t="s">
        <v>1451</v>
      </c>
      <c r="G46" s="526"/>
      <c r="H46" s="696"/>
      <c r="I46" s="472"/>
    </row>
    <row r="47" spans="1:13" ht="15" customHeight="1">
      <c r="A47" s="420"/>
      <c r="C47" s="524"/>
      <c r="D47" s="415"/>
      <c r="E47" s="753"/>
      <c r="F47" s="754"/>
      <c r="G47" s="526"/>
      <c r="H47" s="489">
        <f>H45+H46</f>
        <v>32994</v>
      </c>
      <c r="I47" s="472"/>
    </row>
    <row r="48" spans="1:13" ht="15" customHeight="1">
      <c r="A48" s="420"/>
      <c r="B48" s="408" t="s">
        <v>774</v>
      </c>
      <c r="C48" s="415"/>
      <c r="D48" s="456"/>
      <c r="E48" s="428"/>
      <c r="F48" s="415"/>
      <c r="G48" s="428"/>
      <c r="H48" s="489">
        <f>ROUND((H47)*0.02,0)</f>
        <v>660</v>
      </c>
      <c r="I48" s="472"/>
    </row>
    <row r="49" spans="1:10" ht="15" customHeight="1">
      <c r="A49" s="420"/>
      <c r="B49" s="408" t="s">
        <v>775</v>
      </c>
      <c r="C49" s="415"/>
      <c r="D49" s="456"/>
      <c r="E49" s="458"/>
      <c r="F49" s="415"/>
      <c r="G49" s="428"/>
      <c r="H49" s="528">
        <f>ROUND((H47)*0.01,0)</f>
        <v>330</v>
      </c>
      <c r="I49" s="474"/>
    </row>
    <row r="50" spans="1:10" ht="15" customHeight="1">
      <c r="A50" s="420"/>
      <c r="B50" s="450" t="s">
        <v>565</v>
      </c>
      <c r="C50" s="415"/>
      <c r="D50" s="456"/>
      <c r="E50" s="458"/>
      <c r="F50" s="415"/>
      <c r="G50" s="428"/>
      <c r="H50" s="488">
        <f>SUM(H47:H49)</f>
        <v>33984</v>
      </c>
      <c r="I50" s="472"/>
    </row>
    <row r="51" spans="1:10" ht="15" customHeight="1">
      <c r="A51" s="420"/>
      <c r="B51" s="421" t="s">
        <v>571</v>
      </c>
      <c r="C51" s="428"/>
      <c r="D51" s="456"/>
      <c r="E51" s="428"/>
      <c r="F51" s="428"/>
      <c r="G51" s="428"/>
      <c r="H51" s="490"/>
      <c r="I51" s="471"/>
    </row>
    <row r="52" spans="1:10" ht="15" customHeight="1">
      <c r="A52" s="420"/>
      <c r="B52" s="667"/>
      <c r="C52" s="1115" t="s">
        <v>1430</v>
      </c>
      <c r="D52" s="1115"/>
      <c r="E52" s="705">
        <v>42262</v>
      </c>
      <c r="F52" s="837"/>
      <c r="G52" s="447">
        <v>10000</v>
      </c>
      <c r="H52" s="482"/>
      <c r="I52" s="472"/>
    </row>
    <row r="53" spans="1:10" ht="15" customHeight="1">
      <c r="A53" s="420"/>
      <c r="B53" s="588"/>
      <c r="C53" s="1115" t="s">
        <v>1252</v>
      </c>
      <c r="D53" s="1115"/>
      <c r="E53" s="705">
        <v>42514</v>
      </c>
      <c r="F53" s="837"/>
      <c r="G53" s="410">
        <v>20000</v>
      </c>
      <c r="H53" s="482"/>
      <c r="I53" s="472"/>
    </row>
    <row r="54" spans="1:10" ht="12.75" customHeight="1" thickBot="1">
      <c r="A54" s="414"/>
      <c r="B54" s="477"/>
      <c r="C54" s="838"/>
      <c r="D54" s="838"/>
      <c r="E54" s="709"/>
      <c r="F54" s="838"/>
      <c r="G54" s="481"/>
      <c r="H54" s="493">
        <f>SUM(G52:G54)</f>
        <v>30000</v>
      </c>
      <c r="I54" s="478"/>
    </row>
    <row r="55" spans="1:10" ht="18" customHeight="1" thickBot="1">
      <c r="A55" s="494"/>
      <c r="B55" s="710" t="str">
        <f>IF(H55=0,"TAX  PAYABLE / REFUND ",IF(H55&lt;0,"REFUND","TAX  PAYABLE"))</f>
        <v>TAX  PAYABLE</v>
      </c>
      <c r="C55" s="706"/>
      <c r="D55" s="838"/>
      <c r="E55" s="707"/>
      <c r="F55" s="708" t="s">
        <v>776</v>
      </c>
      <c r="G55" s="497"/>
      <c r="H55" s="499">
        <f>H50-H54</f>
        <v>3984</v>
      </c>
      <c r="I55" s="500"/>
    </row>
    <row r="56" spans="1:10" ht="18" customHeight="1">
      <c r="A56" s="808"/>
      <c r="B56" s="813" t="s">
        <v>1493</v>
      </c>
      <c r="C56" s="809"/>
      <c r="D56" s="837"/>
      <c r="E56" s="428"/>
      <c r="F56" s="453"/>
      <c r="G56" s="428"/>
      <c r="H56" s="424"/>
      <c r="I56" s="810"/>
    </row>
    <row r="57" spans="1:10" ht="18" customHeight="1">
      <c r="A57" s="808"/>
      <c r="B57" s="811" t="s">
        <v>1474</v>
      </c>
      <c r="C57" s="809" t="s">
        <v>1492</v>
      </c>
      <c r="D57" s="837"/>
      <c r="E57" s="428"/>
      <c r="F57" s="453"/>
      <c r="G57" s="428"/>
      <c r="H57" s="812">
        <v>1000000</v>
      </c>
      <c r="I57" s="810"/>
    </row>
    <row r="58" spans="1:10" ht="18" customHeight="1">
      <c r="A58" s="808"/>
      <c r="B58" s="766" t="s">
        <v>1477</v>
      </c>
      <c r="C58" s="427" t="s">
        <v>1490</v>
      </c>
      <c r="D58" s="837"/>
      <c r="E58" s="428"/>
      <c r="F58" s="453"/>
      <c r="G58" s="428"/>
      <c r="H58" s="812">
        <v>50000</v>
      </c>
      <c r="I58" s="810"/>
    </row>
    <row r="59" spans="1:10" ht="18" customHeight="1">
      <c r="A59" s="808"/>
      <c r="B59" s="766" t="s">
        <v>1477</v>
      </c>
      <c r="C59" s="427" t="s">
        <v>1491</v>
      </c>
      <c r="D59" s="837"/>
      <c r="E59" s="428"/>
      <c r="F59" s="453"/>
      <c r="G59" s="428"/>
      <c r="H59" s="812">
        <v>6000</v>
      </c>
      <c r="I59" s="810"/>
    </row>
    <row r="60" spans="1:10" ht="13.5" thickBot="1">
      <c r="A60" s="567"/>
      <c r="B60" s="570"/>
      <c r="C60" s="570"/>
      <c r="D60" s="752"/>
      <c r="E60" s="570"/>
      <c r="F60" s="570"/>
      <c r="G60" s="570"/>
      <c r="H60" s="570"/>
      <c r="I60" s="569"/>
      <c r="J60" s="554"/>
    </row>
    <row r="61" spans="1:10">
      <c r="C61" s="788">
        <v>1</v>
      </c>
      <c r="D61" s="789" t="s">
        <v>1456</v>
      </c>
      <c r="E61" s="789"/>
      <c r="F61" s="789"/>
      <c r="G61" s="789">
        <v>2000</v>
      </c>
      <c r="H61" s="790"/>
    </row>
    <row r="62" spans="1:10">
      <c r="B62" s="811" t="s">
        <v>1474</v>
      </c>
      <c r="C62" s="791">
        <v>2</v>
      </c>
      <c r="D62" s="792" t="s">
        <v>1457</v>
      </c>
      <c r="E62" s="792"/>
      <c r="F62" s="792"/>
      <c r="G62" s="792"/>
      <c r="H62" s="793"/>
    </row>
    <row r="63" spans="1:10">
      <c r="B63" s="811" t="s">
        <v>1474</v>
      </c>
      <c r="C63" s="791">
        <v>3</v>
      </c>
      <c r="D63" s="792" t="s">
        <v>1458</v>
      </c>
      <c r="E63" s="792"/>
      <c r="F63" s="792"/>
      <c r="G63" s="792"/>
      <c r="H63" s="793"/>
    </row>
    <row r="64" spans="1:10">
      <c r="B64" s="766" t="s">
        <v>1475</v>
      </c>
      <c r="C64" s="791">
        <v>4</v>
      </c>
      <c r="D64" s="792" t="s">
        <v>1459</v>
      </c>
      <c r="E64" s="792"/>
      <c r="F64" s="792"/>
      <c r="G64" s="792"/>
      <c r="H64" s="793"/>
    </row>
    <row r="65" spans="1:13" ht="13.5" thickBot="1">
      <c r="B65" s="766" t="s">
        <v>1476</v>
      </c>
      <c r="C65" s="794">
        <v>5</v>
      </c>
      <c r="D65" s="795" t="s">
        <v>1460</v>
      </c>
      <c r="E65" s="795"/>
      <c r="F65" s="795"/>
      <c r="G65" s="795"/>
      <c r="H65" s="796"/>
    </row>
    <row r="66" spans="1:13" ht="13.5" thickBot="1">
      <c r="B66" s="766"/>
    </row>
    <row r="67" spans="1:13">
      <c r="B67" s="766"/>
      <c r="C67" s="778" t="s">
        <v>1499</v>
      </c>
      <c r="D67" s="779"/>
      <c r="E67" s="779"/>
      <c r="F67" s="779"/>
      <c r="G67" s="779">
        <f>647400+72000-1200000</f>
        <v>-480600</v>
      </c>
      <c r="H67" s="780"/>
    </row>
    <row r="68" spans="1:13">
      <c r="B68" s="766" t="s">
        <v>1477</v>
      </c>
      <c r="C68" s="781" t="s">
        <v>1461</v>
      </c>
      <c r="D68" s="782"/>
      <c r="E68" s="782"/>
      <c r="F68" s="782"/>
      <c r="G68" s="782">
        <v>6000</v>
      </c>
      <c r="H68" s="783"/>
    </row>
    <row r="69" spans="1:13">
      <c r="B69" s="766" t="s">
        <v>1477</v>
      </c>
      <c r="C69" s="781" t="s">
        <v>1462</v>
      </c>
      <c r="D69" s="782"/>
      <c r="E69" s="782"/>
      <c r="F69" s="782"/>
      <c r="G69" s="782">
        <v>50000</v>
      </c>
      <c r="H69" s="783"/>
    </row>
    <row r="70" spans="1:13" s="476" customFormat="1">
      <c r="A70" s="460"/>
      <c r="B70" s="766" t="s">
        <v>1473</v>
      </c>
      <c r="C70" s="784" t="s">
        <v>1456</v>
      </c>
      <c r="D70" s="782"/>
      <c r="E70" s="782"/>
      <c r="F70" s="782"/>
      <c r="G70" s="782"/>
      <c r="H70" s="797">
        <v>2000</v>
      </c>
      <c r="J70" s="416"/>
      <c r="K70" s="416"/>
      <c r="L70" s="416"/>
      <c r="M70" s="416"/>
    </row>
    <row r="71" spans="1:13" s="476" customFormat="1">
      <c r="A71" s="460"/>
      <c r="B71" s="766" t="s">
        <v>1475</v>
      </c>
      <c r="C71" s="781" t="s">
        <v>1459</v>
      </c>
      <c r="D71" s="782"/>
      <c r="E71" s="782"/>
      <c r="F71" s="782"/>
      <c r="G71" s="782">
        <v>40000</v>
      </c>
      <c r="H71" s="783"/>
      <c r="J71" s="416"/>
      <c r="K71" s="416"/>
      <c r="L71" s="416"/>
      <c r="M71" s="416"/>
    </row>
    <row r="72" spans="1:13" s="476" customFormat="1">
      <c r="A72" s="460"/>
      <c r="B72" s="766" t="s">
        <v>1476</v>
      </c>
      <c r="C72" s="781" t="s">
        <v>1463</v>
      </c>
      <c r="D72" s="782"/>
      <c r="E72" s="782"/>
      <c r="F72" s="782"/>
      <c r="G72" s="782">
        <v>3000</v>
      </c>
      <c r="H72" s="783"/>
      <c r="J72" s="416"/>
      <c r="K72" s="416"/>
      <c r="L72" s="416"/>
      <c r="M72" s="416"/>
    </row>
    <row r="73" spans="1:13" s="476" customFormat="1">
      <c r="A73" s="460"/>
      <c r="B73" s="766"/>
      <c r="C73" s="781"/>
      <c r="D73" s="782"/>
      <c r="E73" s="782"/>
      <c r="F73" s="782"/>
      <c r="G73" s="782"/>
      <c r="H73" s="783"/>
      <c r="J73" s="416"/>
      <c r="K73" s="416"/>
      <c r="L73" s="416"/>
      <c r="M73" s="416"/>
    </row>
    <row r="74" spans="1:13" s="476" customFormat="1">
      <c r="A74" s="460"/>
      <c r="B74" s="764" t="s">
        <v>1478</v>
      </c>
      <c r="C74" s="784" t="s">
        <v>1480</v>
      </c>
      <c r="D74" s="782"/>
      <c r="E74" s="782"/>
      <c r="F74" s="782"/>
      <c r="G74" s="782">
        <v>2000</v>
      </c>
      <c r="H74" s="783"/>
      <c r="J74" s="416"/>
      <c r="K74" s="416"/>
      <c r="L74" s="416"/>
      <c r="M74" s="416"/>
    </row>
    <row r="75" spans="1:13" s="476" customFormat="1">
      <c r="A75" s="460"/>
      <c r="B75" s="764" t="s">
        <v>1479</v>
      </c>
      <c r="C75" s="781" t="s">
        <v>1481</v>
      </c>
      <c r="D75" s="782"/>
      <c r="E75" s="782"/>
      <c r="F75" s="782"/>
      <c r="G75" s="782"/>
      <c r="H75" s="798">
        <f>+F82+G82+H82</f>
        <v>193460</v>
      </c>
      <c r="J75" s="416"/>
      <c r="K75" s="416"/>
      <c r="L75" s="416"/>
      <c r="M75" s="416"/>
    </row>
    <row r="76" spans="1:13" s="476" customFormat="1" ht="18" customHeight="1" thickBot="1">
      <c r="A76" s="460"/>
      <c r="B76" s="766"/>
      <c r="C76" s="785"/>
      <c r="D76" s="786"/>
      <c r="E76" s="786"/>
      <c r="F76" s="786"/>
      <c r="G76" s="786"/>
      <c r="H76" s="787">
        <f>SUM(G67:G74)-SUM(H67:H75)</f>
        <v>-575060</v>
      </c>
      <c r="J76" s="416"/>
      <c r="K76" s="416"/>
      <c r="L76" s="416"/>
      <c r="M76" s="416"/>
    </row>
    <row r="77" spans="1:13" s="476" customFormat="1" ht="13.5" thickBot="1">
      <c r="A77" s="460"/>
      <c r="B77" s="766"/>
      <c r="C77" s="416"/>
      <c r="D77" s="416"/>
      <c r="E77" s="416"/>
      <c r="F77" s="416"/>
      <c r="G77" s="416"/>
      <c r="H77" s="416"/>
      <c r="J77" s="416"/>
      <c r="K77" s="416"/>
      <c r="L77" s="416"/>
      <c r="M77" s="416"/>
    </row>
    <row r="78" spans="1:13" s="476" customFormat="1">
      <c r="A78" s="460"/>
      <c r="B78" s="766"/>
      <c r="C78" s="768"/>
      <c r="D78" s="769"/>
      <c r="E78" s="769"/>
      <c r="F78" s="770" t="s">
        <v>1464</v>
      </c>
      <c r="G78" s="770" t="s">
        <v>1469</v>
      </c>
      <c r="H78" s="771" t="s">
        <v>1425</v>
      </c>
      <c r="J78" s="416"/>
      <c r="K78" s="416"/>
      <c r="L78" s="416"/>
      <c r="M78" s="416"/>
    </row>
    <row r="79" spans="1:13" s="476" customFormat="1">
      <c r="A79" s="460"/>
      <c r="B79" s="766"/>
      <c r="C79" s="772"/>
      <c r="D79" s="773" t="s">
        <v>1465</v>
      </c>
      <c r="E79" s="773"/>
      <c r="F79" s="773">
        <v>400000</v>
      </c>
      <c r="G79" s="773">
        <v>200000</v>
      </c>
      <c r="H79" s="774">
        <v>15000</v>
      </c>
      <c r="J79" s="416"/>
      <c r="K79" s="416"/>
      <c r="L79" s="416"/>
      <c r="M79" s="416"/>
    </row>
    <row r="80" spans="1:13" s="476" customFormat="1">
      <c r="A80" s="460"/>
      <c r="B80" s="766"/>
      <c r="C80" s="772"/>
      <c r="D80" s="773" t="s">
        <v>1466</v>
      </c>
      <c r="E80" s="773"/>
      <c r="F80" s="773">
        <v>40000</v>
      </c>
      <c r="G80" s="773">
        <v>10000</v>
      </c>
      <c r="H80" s="774">
        <v>0</v>
      </c>
      <c r="J80" s="416"/>
      <c r="K80" s="416"/>
      <c r="L80" s="416"/>
      <c r="M80" s="416"/>
    </row>
    <row r="81" spans="1:13" s="476" customFormat="1">
      <c r="A81" s="460"/>
      <c r="B81" s="766"/>
      <c r="C81" s="775"/>
      <c r="D81" s="773" t="s">
        <v>1467</v>
      </c>
      <c r="E81" s="773"/>
      <c r="F81" s="773"/>
      <c r="G81" s="773"/>
      <c r="H81" s="800">
        <v>400</v>
      </c>
      <c r="J81" s="416"/>
      <c r="K81" s="416"/>
      <c r="L81" s="416"/>
      <c r="M81" s="416"/>
    </row>
    <row r="82" spans="1:13" s="476" customFormat="1" ht="13.5" thickBot="1">
      <c r="A82" s="460"/>
      <c r="B82" s="766"/>
      <c r="C82" s="804">
        <f>F82+G82+H82</f>
        <v>193460</v>
      </c>
      <c r="D82" s="776" t="s">
        <v>1468</v>
      </c>
      <c r="E82" s="776"/>
      <c r="F82" s="776">
        <f>(F79+F80)*0.15</f>
        <v>66000</v>
      </c>
      <c r="G82" s="776">
        <f>(G79+G80)*0.6</f>
        <v>126000</v>
      </c>
      <c r="H82" s="777">
        <f>(H79-H81)*0.1</f>
        <v>1460</v>
      </c>
      <c r="J82" s="416"/>
      <c r="K82" s="416"/>
      <c r="L82" s="416"/>
      <c r="M82" s="416"/>
    </row>
    <row r="83" spans="1:13" s="476" customFormat="1">
      <c r="A83" s="460"/>
      <c r="B83" s="766"/>
      <c r="C83" s="416"/>
      <c r="D83" s="682"/>
      <c r="E83" s="682"/>
      <c r="F83" s="799">
        <v>0.15</v>
      </c>
      <c r="G83" s="799">
        <v>0.6</v>
      </c>
      <c r="H83" s="799">
        <v>0.1</v>
      </c>
      <c r="J83" s="416"/>
      <c r="K83" s="416"/>
      <c r="L83" s="416"/>
      <c r="M83" s="416"/>
    </row>
    <row r="84" spans="1:13" s="476" customFormat="1">
      <c r="A84" s="460"/>
      <c r="B84" s="766"/>
      <c r="C84" s="416"/>
      <c r="D84" s="682"/>
      <c r="E84" s="682"/>
      <c r="F84" s="682"/>
      <c r="G84" s="682"/>
      <c r="H84" s="682"/>
      <c r="J84" s="416"/>
      <c r="K84" s="416"/>
      <c r="L84" s="416"/>
      <c r="M84" s="416"/>
    </row>
    <row r="85" spans="1:13" s="476" customFormat="1">
      <c r="A85" s="460"/>
      <c r="B85" s="416"/>
      <c r="C85" s="802" t="s">
        <v>1488</v>
      </c>
      <c r="D85" s="416"/>
      <c r="E85" s="416"/>
      <c r="F85" s="807" t="s">
        <v>1487</v>
      </c>
      <c r="G85" s="416"/>
      <c r="H85" s="416"/>
      <c r="J85" s="416"/>
      <c r="K85" s="416"/>
      <c r="L85" s="416"/>
      <c r="M85" s="416"/>
    </row>
    <row r="86" spans="1:13">
      <c r="B86" s="803"/>
      <c r="C86" s="803" t="s">
        <v>1482</v>
      </c>
      <c r="E86" s="803"/>
      <c r="G86" s="803"/>
    </row>
    <row r="87" spans="1:13">
      <c r="C87" s="805" t="s">
        <v>1483</v>
      </c>
      <c r="D87" s="806" t="s">
        <v>1484</v>
      </c>
      <c r="E87" s="803" t="s">
        <v>1486</v>
      </c>
    </row>
    <row r="88" spans="1:13">
      <c r="C88" s="803" t="s">
        <v>1485</v>
      </c>
    </row>
    <row r="90" spans="1:13" ht="15">
      <c r="C90" s="817"/>
      <c r="D90" s="818"/>
      <c r="E90" s="818"/>
      <c r="F90" s="761"/>
      <c r="G90" s="761"/>
    </row>
    <row r="91" spans="1:13">
      <c r="C91" s="820" t="s">
        <v>1446</v>
      </c>
      <c r="D91" s="820"/>
      <c r="E91" s="763"/>
      <c r="F91" s="762"/>
    </row>
    <row r="92" spans="1:13">
      <c r="C92" s="822" t="s">
        <v>1455</v>
      </c>
      <c r="D92" s="763"/>
      <c r="E92" s="844" t="s">
        <v>1501</v>
      </c>
      <c r="F92" s="814">
        <f>+H76</f>
        <v>-575060</v>
      </c>
    </row>
    <row r="93" spans="1:13">
      <c r="C93" s="839" t="s">
        <v>1494</v>
      </c>
      <c r="D93" s="763"/>
      <c r="E93" s="763"/>
      <c r="F93" s="832">
        <f>+H2</f>
        <v>1200000</v>
      </c>
    </row>
    <row r="94" spans="1:13">
      <c r="C94" s="815"/>
      <c r="D94" s="763"/>
      <c r="E94" s="763"/>
      <c r="F94" s="823">
        <f>F92+F93</f>
        <v>624940</v>
      </c>
    </row>
    <row r="95" spans="1:13">
      <c r="C95" s="816" t="s">
        <v>1447</v>
      </c>
      <c r="D95" s="763"/>
      <c r="E95" s="763"/>
      <c r="F95" s="814"/>
    </row>
    <row r="96" spans="1:13">
      <c r="C96" s="815" t="s">
        <v>1444</v>
      </c>
      <c r="D96" s="763"/>
      <c r="E96" s="819">
        <v>270000</v>
      </c>
    </row>
    <row r="97" spans="2:7">
      <c r="C97" s="815" t="s">
        <v>1445</v>
      </c>
      <c r="D97" s="763"/>
      <c r="E97" s="824">
        <f>(F94-300000)*0.6</f>
        <v>194964</v>
      </c>
      <c r="F97" s="416">
        <f>E96+E97</f>
        <v>464964</v>
      </c>
    </row>
    <row r="98" spans="2:7">
      <c r="C98" s="815" t="s">
        <v>1448</v>
      </c>
      <c r="D98" s="763"/>
      <c r="E98" s="763"/>
      <c r="F98" s="814"/>
    </row>
    <row r="99" spans="2:7">
      <c r="C99" s="825" t="s">
        <v>1449</v>
      </c>
      <c r="D99" s="826"/>
      <c r="E99" s="826"/>
      <c r="F99" s="833">
        <f>F93-F97</f>
        <v>735036</v>
      </c>
    </row>
    <row r="100" spans="2:7">
      <c r="D100" s="762"/>
      <c r="E100" s="762"/>
      <c r="F100" s="762"/>
      <c r="G100" s="762"/>
    </row>
    <row r="101" spans="2:7">
      <c r="B101" s="762"/>
      <c r="C101" s="834" t="s">
        <v>1452</v>
      </c>
      <c r="D101" s="835"/>
      <c r="E101" s="835"/>
      <c r="F101" s="834">
        <f>+F92</f>
        <v>-575060</v>
      </c>
    </row>
    <row r="102" spans="2:7">
      <c r="B102" s="762"/>
      <c r="C102" s="843" t="s">
        <v>1453</v>
      </c>
      <c r="D102" s="835"/>
      <c r="E102" s="835">
        <f>+F97</f>
        <v>464964</v>
      </c>
      <c r="F102" s="834"/>
    </row>
    <row r="103" spans="2:7">
      <c r="B103" s="762"/>
      <c r="C103" s="834" t="s">
        <v>1454</v>
      </c>
      <c r="D103" s="835"/>
      <c r="E103" s="835">
        <f>F101-E102</f>
        <v>-1040024</v>
      </c>
      <c r="F103" s="836">
        <f>F101-F102</f>
        <v>-575060</v>
      </c>
    </row>
    <row r="104" spans="2:7">
      <c r="B104" s="762"/>
      <c r="C104" s="835"/>
      <c r="D104" s="835"/>
      <c r="E104" s="835"/>
      <c r="F104" s="835"/>
    </row>
    <row r="105" spans="2:7">
      <c r="B105" s="762"/>
      <c r="C105" s="835"/>
      <c r="D105" s="835"/>
      <c r="E105" s="835"/>
      <c r="F105" s="835"/>
    </row>
    <row r="106" spans="2:7">
      <c r="B106" s="762"/>
      <c r="C106" s="762"/>
      <c r="D106" s="762"/>
      <c r="E106" s="762"/>
      <c r="F106" s="762"/>
    </row>
  </sheetData>
  <mergeCells count="4">
    <mergeCell ref="B1:H1"/>
    <mergeCell ref="A5:I5"/>
    <mergeCell ref="C52:D52"/>
    <mergeCell ref="C53:D53"/>
  </mergeCells>
  <dataValidations count="1">
    <dataValidation type="list" errorStyle="information" allowBlank="1" showInputMessage="1" showErrorMessage="1" sqref="D7">
      <formula1>"SALARY RECEIVED, PENSION RECEIVED"</formula1>
    </dataValidation>
  </dataValidations>
  <printOptions horizontalCentered="1" verticalCentered="1"/>
  <pageMargins left="0.39370078740157483" right="0.19685039370078741" top="0.19685039370078741" bottom="0.19685039370078741" header="0" footer="0"/>
  <pageSetup paperSize="9" scale="63" orientation="portrait" r:id="rId1"/>
  <headerFooter alignWithMargins="0"/>
  <legacy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78"/>
  <sheetViews>
    <sheetView zoomScaleNormal="100" workbookViewId="0">
      <selection activeCell="K13" sqref="K13"/>
    </sheetView>
  </sheetViews>
  <sheetFormatPr defaultRowHeight="15" customHeight="1"/>
  <cols>
    <col min="1" max="1" width="17.85546875" customWidth="1"/>
    <col min="2" max="2" width="12.7109375" customWidth="1"/>
    <col min="3" max="3" width="13" customWidth="1"/>
    <col min="4" max="4" width="12" customWidth="1"/>
    <col min="5" max="5" width="12.5703125" customWidth="1"/>
    <col min="6" max="6" width="12.7109375" customWidth="1"/>
    <col min="7" max="7" width="12.85546875" customWidth="1"/>
    <col min="8" max="8" width="10.28515625" customWidth="1"/>
    <col min="9" max="9" width="13.85546875" customWidth="1"/>
  </cols>
  <sheetData>
    <row r="1" spans="1:9" ht="17.25" customHeight="1">
      <c r="A1" s="66" t="s">
        <v>574</v>
      </c>
      <c r="H1" s="65" t="s">
        <v>594</v>
      </c>
      <c r="I1" s="49">
        <f>ROUND(H11+H18+H24,0)*0</f>
        <v>0</v>
      </c>
    </row>
    <row r="2" spans="1:9" ht="15" customHeight="1">
      <c r="A2" s="53" t="s">
        <v>575</v>
      </c>
      <c r="E2" s="68">
        <f>+SBR!H68</f>
        <v>146301</v>
      </c>
    </row>
    <row r="3" spans="1:9" ht="15" customHeight="1">
      <c r="A3" s="53" t="s">
        <v>576</v>
      </c>
      <c r="E3" s="68">
        <f>SUM(SBR!B73:B75)</f>
        <v>148780</v>
      </c>
    </row>
    <row r="4" spans="1:9" ht="15" customHeight="1" thickBot="1">
      <c r="A4" s="53" t="s">
        <v>577</v>
      </c>
      <c r="E4" s="54">
        <f>IF(E3&gt;E2,0,E2-E3)</f>
        <v>0</v>
      </c>
    </row>
    <row r="5" spans="1:9" ht="15" customHeight="1" thickTop="1">
      <c r="A5" s="55" t="s">
        <v>805</v>
      </c>
      <c r="E5" s="56">
        <f>IF(E4&gt;10000,E4,0)</f>
        <v>0</v>
      </c>
      <c r="H5" s="57" t="s">
        <v>578</v>
      </c>
    </row>
    <row r="6" spans="1:9" s="58" customFormat="1" ht="15" customHeight="1">
      <c r="A6" s="58" t="s">
        <v>596</v>
      </c>
      <c r="B6" s="58" t="s">
        <v>398</v>
      </c>
      <c r="C6" s="58" t="s">
        <v>579</v>
      </c>
      <c r="D6" s="58" t="s">
        <v>580</v>
      </c>
      <c r="E6" s="58" t="s">
        <v>581</v>
      </c>
      <c r="F6" s="58" t="s">
        <v>582</v>
      </c>
      <c r="G6" s="58" t="s">
        <v>583</v>
      </c>
      <c r="H6" s="58" t="s">
        <v>584</v>
      </c>
    </row>
    <row r="7" spans="1:9" ht="15" customHeight="1">
      <c r="A7" s="376">
        <v>42261</v>
      </c>
      <c r="B7" s="397">
        <v>20000</v>
      </c>
      <c r="C7" s="59" t="s">
        <v>585</v>
      </c>
      <c r="D7" s="376">
        <v>42262</v>
      </c>
      <c r="E7" s="48">
        <f>E5*0.3</f>
        <v>0</v>
      </c>
      <c r="F7" s="48">
        <f>ROUNDDOWN(+E7,-2)</f>
        <v>0</v>
      </c>
      <c r="G7" s="48">
        <f>(F7-B7)</f>
        <v>-20000</v>
      </c>
      <c r="H7" s="48">
        <f>IF(G7&gt;0,G7*0.12/12*3,0)</f>
        <v>0</v>
      </c>
    </row>
    <row r="8" spans="1:9" ht="15" customHeight="1">
      <c r="A8" s="376"/>
      <c r="B8" s="397"/>
      <c r="C8" s="59" t="s">
        <v>586</v>
      </c>
      <c r="D8" s="376">
        <v>42353</v>
      </c>
      <c r="E8" s="48">
        <f>E5*0.6</f>
        <v>0</v>
      </c>
      <c r="F8" s="48">
        <f>ROUNDDOWN(+E8,-2)</f>
        <v>0</v>
      </c>
      <c r="G8" s="48">
        <f>(F8-(B7+B8))</f>
        <v>-20000</v>
      </c>
      <c r="H8" s="48">
        <f>IF(G8&gt;0,G8*0.12/12*3,0)</f>
        <v>0</v>
      </c>
    </row>
    <row r="9" spans="1:9" ht="15" customHeight="1">
      <c r="A9" s="376"/>
      <c r="B9" s="397"/>
      <c r="C9" s="59" t="s">
        <v>587</v>
      </c>
      <c r="D9" s="376">
        <v>42444</v>
      </c>
      <c r="E9" s="48">
        <f>E5*1</f>
        <v>0</v>
      </c>
      <c r="F9" s="48">
        <f>ROUNDDOWN(+E9,-2)</f>
        <v>0</v>
      </c>
      <c r="G9" s="48">
        <f>(F9-(B7+B8+B9))</f>
        <v>-20000</v>
      </c>
      <c r="H9" s="48">
        <f>IF(G9&gt;0,G9*0.12/12,0)</f>
        <v>0</v>
      </c>
    </row>
    <row r="10" spans="1:9" ht="15" customHeight="1">
      <c r="A10" s="376"/>
      <c r="B10" s="397"/>
      <c r="C10" s="59" t="s">
        <v>593</v>
      </c>
      <c r="D10" s="376">
        <v>42460</v>
      </c>
      <c r="E10" s="67"/>
      <c r="F10" s="48"/>
      <c r="G10" s="48"/>
      <c r="H10" s="48"/>
    </row>
    <row r="11" spans="1:9" ht="15" customHeight="1" thickBot="1">
      <c r="B11" s="129">
        <f>SUM(B7:B10)</f>
        <v>20000</v>
      </c>
      <c r="H11" s="60">
        <f>SUM(H7:H10)*0</f>
        <v>0</v>
      </c>
    </row>
    <row r="12" spans="1:9" ht="15" customHeight="1" thickTop="1">
      <c r="A12" s="66" t="s">
        <v>588</v>
      </c>
      <c r="E12" s="53" t="s">
        <v>507</v>
      </c>
      <c r="G12" s="61"/>
    </row>
    <row r="13" spans="1:9" ht="15" customHeight="1">
      <c r="A13" s="398" t="s">
        <v>577</v>
      </c>
      <c r="E13" s="62">
        <f>+E4</f>
        <v>0</v>
      </c>
      <c r="F13" s="58"/>
      <c r="G13" s="58"/>
    </row>
    <row r="14" spans="1:9" ht="15" customHeight="1">
      <c r="A14" s="398" t="s">
        <v>598</v>
      </c>
      <c r="E14" s="62">
        <f>SUM(B7:B10)</f>
        <v>20000</v>
      </c>
    </row>
    <row r="15" spans="1:9" ht="15" customHeight="1" thickBot="1">
      <c r="A15" s="398" t="s">
        <v>599</v>
      </c>
      <c r="E15" s="54">
        <f>IF(E14&gt;E13,0,E13-E14)</f>
        <v>0</v>
      </c>
    </row>
    <row r="16" spans="1:9" ht="15" customHeight="1" thickTop="1">
      <c r="A16" s="55" t="s">
        <v>600</v>
      </c>
      <c r="E16" s="56">
        <f>IF(E13&gt;10000,IF(E15&gt;(E13*0.1),E15,0),0)</f>
        <v>0</v>
      </c>
      <c r="H16" s="57" t="s">
        <v>589</v>
      </c>
    </row>
    <row r="17" spans="1:14" ht="15" customHeight="1">
      <c r="A17" s="58" t="s">
        <v>596</v>
      </c>
      <c r="B17" s="58" t="s">
        <v>398</v>
      </c>
      <c r="C17" s="69"/>
      <c r="D17" s="70" t="s">
        <v>596</v>
      </c>
      <c r="E17" s="58" t="s">
        <v>581</v>
      </c>
      <c r="F17" s="58" t="s">
        <v>590</v>
      </c>
      <c r="G17" s="58" t="s">
        <v>582</v>
      </c>
      <c r="H17" s="5" t="s">
        <v>584</v>
      </c>
    </row>
    <row r="18" spans="1:14" ht="15" customHeight="1" thickBot="1">
      <c r="A18" s="401"/>
      <c r="B18" s="399"/>
      <c r="C18" s="47"/>
      <c r="D18" s="377">
        <v>42582</v>
      </c>
      <c r="E18" s="62">
        <f>+E16</f>
        <v>0</v>
      </c>
      <c r="F18" s="71">
        <v>4</v>
      </c>
      <c r="G18" s="48">
        <f>ROUNDDOWN(+E18,-2)</f>
        <v>0</v>
      </c>
      <c r="H18" s="63">
        <f>IF(E16&gt;0,G18*0.12/12*F18,0)*0</f>
        <v>0</v>
      </c>
    </row>
    <row r="19" spans="1:14" ht="15" customHeight="1" thickTop="1">
      <c r="A19" s="66" t="s">
        <v>591</v>
      </c>
      <c r="E19" s="53" t="s">
        <v>1030</v>
      </c>
    </row>
    <row r="20" spans="1:14" ht="15" customHeight="1">
      <c r="A20" s="398" t="s">
        <v>575</v>
      </c>
      <c r="E20" s="64">
        <f>+E2</f>
        <v>146301</v>
      </c>
    </row>
    <row r="21" spans="1:14" ht="15" customHeight="1">
      <c r="A21" s="398" t="s">
        <v>576</v>
      </c>
      <c r="E21" s="64">
        <f>+E3+E14</f>
        <v>168780</v>
      </c>
    </row>
    <row r="22" spans="1:14" ht="15" customHeight="1" thickBot="1">
      <c r="A22" s="55" t="s">
        <v>592</v>
      </c>
      <c r="E22" s="54">
        <f>IF(E21&gt;E20,0,E20-E21)</f>
        <v>0</v>
      </c>
      <c r="H22" s="57" t="s">
        <v>595</v>
      </c>
    </row>
    <row r="23" spans="1:14" ht="15" customHeight="1" thickTop="1">
      <c r="A23" s="58" t="s">
        <v>596</v>
      </c>
      <c r="B23" s="58" t="s">
        <v>398</v>
      </c>
      <c r="D23" s="402" t="s">
        <v>597</v>
      </c>
      <c r="E23" s="58" t="s">
        <v>581</v>
      </c>
      <c r="F23" s="58" t="s">
        <v>590</v>
      </c>
      <c r="G23" s="58" t="s">
        <v>582</v>
      </c>
      <c r="H23" s="5" t="s">
        <v>584</v>
      </c>
    </row>
    <row r="24" spans="1:14" ht="15" customHeight="1" thickBot="1">
      <c r="A24" s="401"/>
      <c r="B24" s="399"/>
      <c r="D24" s="377">
        <v>42582</v>
      </c>
      <c r="E24" s="56">
        <f>+E22</f>
        <v>0</v>
      </c>
      <c r="F24" s="71">
        <v>0</v>
      </c>
      <c r="G24" s="48">
        <f>ROUNDDOWN(+E24,-2)</f>
        <v>0</v>
      </c>
      <c r="H24" s="63">
        <f>(G24*0.12/12*F24)*0</f>
        <v>0</v>
      </c>
    </row>
    <row r="25" spans="1:14" ht="15" customHeight="1" thickTop="1"/>
    <row r="26" spans="1:14" ht="24" customHeight="1">
      <c r="A26" s="584"/>
      <c r="B26" s="1150" t="s">
        <v>1045</v>
      </c>
      <c r="C26" s="1150"/>
      <c r="D26" s="1150"/>
      <c r="E26" s="1150"/>
      <c r="F26" s="1150"/>
      <c r="G26" s="1150"/>
      <c r="H26" s="1150"/>
      <c r="I26" s="1150"/>
    </row>
    <row r="27" spans="1:14" ht="24" customHeight="1">
      <c r="A27" s="585"/>
      <c r="B27" s="1149" t="s">
        <v>1046</v>
      </c>
      <c r="C27" s="1149"/>
      <c r="D27" s="1149"/>
      <c r="E27" s="1149"/>
      <c r="F27" s="1149"/>
      <c r="G27" s="1149"/>
      <c r="H27" s="1149"/>
      <c r="I27" s="1149"/>
      <c r="J27" s="1149"/>
      <c r="K27" s="1149"/>
      <c r="L27" s="1149"/>
      <c r="M27" s="1149"/>
      <c r="N27" s="1149"/>
    </row>
    <row r="28" spans="1:14" ht="24" customHeight="1">
      <c r="A28" s="585"/>
      <c r="B28" s="1149" t="s">
        <v>1047</v>
      </c>
      <c r="C28" s="1149"/>
      <c r="D28" s="1149"/>
      <c r="E28" s="1149"/>
      <c r="F28" s="1149"/>
      <c r="G28" s="1149"/>
      <c r="H28" s="1149"/>
      <c r="I28" s="1149"/>
      <c r="J28" s="1149"/>
      <c r="K28" s="1149"/>
      <c r="L28" s="1149"/>
      <c r="M28" s="1149"/>
      <c r="N28" s="1149"/>
    </row>
    <row r="29" spans="1:14" ht="24" customHeight="1">
      <c r="A29" s="585"/>
      <c r="B29" s="1149" t="s">
        <v>1048</v>
      </c>
      <c r="C29" s="1149"/>
      <c r="D29" s="1149"/>
      <c r="E29" s="1149"/>
      <c r="F29" s="1149"/>
      <c r="G29" s="1149"/>
      <c r="H29" s="1149"/>
      <c r="I29" s="1149"/>
      <c r="J29" s="1149"/>
      <c r="K29" s="1149"/>
      <c r="L29" s="1149"/>
      <c r="M29" s="1149"/>
      <c r="N29" s="1149"/>
    </row>
    <row r="30" spans="1:14" ht="27.75" customHeight="1">
      <c r="A30" s="585"/>
      <c r="B30" s="1149" t="s">
        <v>1049</v>
      </c>
      <c r="C30" s="1149"/>
      <c r="D30" s="1149"/>
      <c r="E30" s="1149"/>
      <c r="F30" s="1149"/>
      <c r="G30" s="1149"/>
      <c r="H30" s="1149"/>
      <c r="I30" s="1149"/>
      <c r="J30" s="1149"/>
      <c r="K30" s="1149"/>
      <c r="L30" s="1149"/>
      <c r="M30" s="1149"/>
      <c r="N30" s="1149"/>
    </row>
    <row r="31" spans="1:14" ht="24" customHeight="1">
      <c r="A31" s="585"/>
      <c r="B31" s="1149" t="s">
        <v>1052</v>
      </c>
      <c r="C31" s="1149"/>
      <c r="D31" s="1149"/>
      <c r="E31" s="1149"/>
      <c r="F31" s="1149"/>
      <c r="G31" s="1149"/>
      <c r="H31" s="1149"/>
      <c r="I31" s="1149"/>
      <c r="J31" s="1149"/>
      <c r="K31" s="1149"/>
      <c r="L31" s="1149"/>
      <c r="M31" s="1149"/>
      <c r="N31" s="1149"/>
    </row>
    <row r="32" spans="1:14" ht="24" customHeight="1">
      <c r="A32" s="585"/>
      <c r="B32" s="1149" t="s">
        <v>1051</v>
      </c>
      <c r="C32" s="1149"/>
      <c r="D32" s="1149"/>
      <c r="E32" s="1149"/>
      <c r="F32" s="1149"/>
      <c r="G32" s="1149"/>
      <c r="H32" s="1149"/>
      <c r="I32" s="1149"/>
      <c r="J32" s="1149"/>
      <c r="K32" s="1149"/>
      <c r="L32" s="1149"/>
      <c r="M32" s="1149"/>
      <c r="N32" s="1149"/>
    </row>
    <row r="33" spans="1:14" ht="44.25" customHeight="1">
      <c r="A33" s="585"/>
      <c r="B33" s="1149" t="s">
        <v>1069</v>
      </c>
      <c r="C33" s="1149"/>
      <c r="D33" s="1149"/>
      <c r="E33" s="1149"/>
      <c r="F33" s="1149"/>
      <c r="G33" s="1149"/>
      <c r="H33" s="1149"/>
      <c r="I33" s="1149"/>
      <c r="J33" s="1149"/>
      <c r="K33" s="1149"/>
      <c r="L33" s="1149"/>
      <c r="M33" s="1149"/>
      <c r="N33" s="1149"/>
    </row>
    <row r="34" spans="1:14" ht="24" customHeight="1">
      <c r="A34" s="585"/>
      <c r="B34" s="1149" t="s">
        <v>1053</v>
      </c>
      <c r="C34" s="1149"/>
      <c r="D34" s="1149"/>
      <c r="E34" s="1149"/>
      <c r="F34" s="1149"/>
      <c r="G34" s="1149"/>
      <c r="H34" s="1149"/>
      <c r="I34" s="1149"/>
      <c r="J34" s="1149"/>
      <c r="K34" s="1149"/>
      <c r="L34" s="1149"/>
      <c r="M34" s="1149"/>
      <c r="N34" s="1149"/>
    </row>
    <row r="35" spans="1:14" ht="24" customHeight="1">
      <c r="A35" s="585"/>
      <c r="B35" s="1149" t="s">
        <v>1066</v>
      </c>
      <c r="C35" s="1149"/>
      <c r="D35" s="1149"/>
      <c r="E35" s="1149"/>
      <c r="F35" s="1149"/>
      <c r="G35" s="1149"/>
      <c r="H35" s="1149"/>
      <c r="I35" s="1149"/>
      <c r="J35" s="1149"/>
      <c r="K35" s="1149"/>
      <c r="L35" s="1149"/>
      <c r="M35" s="1149"/>
      <c r="N35" s="1149"/>
    </row>
    <row r="36" spans="1:14" ht="24" customHeight="1">
      <c r="A36" s="585"/>
      <c r="B36" s="1149" t="s">
        <v>1050</v>
      </c>
      <c r="C36" s="1149"/>
      <c r="D36" s="1149"/>
      <c r="E36" s="1149"/>
      <c r="F36" s="1149"/>
      <c r="G36" s="1149"/>
      <c r="H36" s="1149"/>
      <c r="I36" s="1149"/>
      <c r="J36" s="1149"/>
      <c r="K36" s="1149"/>
      <c r="L36" s="1149"/>
      <c r="M36" s="1149"/>
      <c r="N36" s="1149"/>
    </row>
    <row r="37" spans="1:14" ht="24" customHeight="1">
      <c r="A37" s="585"/>
      <c r="B37" s="1149" t="s">
        <v>1054</v>
      </c>
      <c r="C37" s="1149"/>
      <c r="D37" s="1149"/>
      <c r="E37" s="1149"/>
      <c r="F37" s="1149"/>
      <c r="G37" s="1149"/>
      <c r="H37" s="1149"/>
      <c r="I37" s="1149"/>
      <c r="J37" s="1149"/>
      <c r="K37" s="1149"/>
      <c r="L37" s="1149"/>
      <c r="M37" s="1149"/>
      <c r="N37" s="1149"/>
    </row>
    <row r="38" spans="1:14" ht="24" customHeight="1">
      <c r="A38" s="585"/>
      <c r="B38" s="1149" t="s">
        <v>1084</v>
      </c>
      <c r="C38" s="1149"/>
      <c r="D38" s="1149"/>
      <c r="E38" s="1149"/>
      <c r="F38" s="1149"/>
      <c r="G38" s="1149"/>
      <c r="H38" s="1149"/>
      <c r="I38" s="1149"/>
      <c r="J38" s="1149"/>
      <c r="K38" s="1149"/>
      <c r="L38" s="1149"/>
      <c r="M38" s="1149"/>
      <c r="N38" s="1149"/>
    </row>
    <row r="39" spans="1:14" ht="24" customHeight="1">
      <c r="A39" s="585"/>
      <c r="B39" s="1149" t="s">
        <v>1055</v>
      </c>
      <c r="C39" s="1149"/>
      <c r="D39" s="1149"/>
      <c r="E39" s="1149"/>
      <c r="F39" s="1149"/>
      <c r="G39" s="1149"/>
      <c r="H39" s="1149"/>
      <c r="I39" s="1149"/>
      <c r="J39" s="1149"/>
      <c r="K39" s="1149"/>
      <c r="L39" s="1149"/>
      <c r="M39" s="1149"/>
      <c r="N39" s="1149"/>
    </row>
    <row r="40" spans="1:14" ht="24" customHeight="1">
      <c r="A40" s="585"/>
      <c r="B40" s="1149" t="s">
        <v>1056</v>
      </c>
      <c r="C40" s="1149"/>
      <c r="D40" s="1149"/>
      <c r="E40" s="1149"/>
      <c r="F40" s="1149"/>
      <c r="G40" s="1149"/>
      <c r="H40" s="1149"/>
      <c r="I40" s="1149"/>
      <c r="J40" s="1149"/>
      <c r="K40" s="1149"/>
      <c r="L40" s="1149"/>
      <c r="M40" s="1149"/>
      <c r="N40" s="1149"/>
    </row>
    <row r="41" spans="1:14" ht="24" customHeight="1">
      <c r="A41" s="585"/>
      <c r="B41" s="1149" t="s">
        <v>1057</v>
      </c>
      <c r="C41" s="1149"/>
      <c r="D41" s="1149"/>
      <c r="E41" s="1149"/>
      <c r="F41" s="1149"/>
      <c r="G41" s="1149"/>
      <c r="H41" s="1149"/>
      <c r="I41" s="1149"/>
      <c r="J41" s="1149"/>
      <c r="K41" s="1149"/>
      <c r="L41" s="1149"/>
      <c r="M41" s="1149"/>
      <c r="N41" s="1149"/>
    </row>
    <row r="42" spans="1:14" ht="24" customHeight="1">
      <c r="A42" s="585"/>
      <c r="B42" s="1149" t="s">
        <v>1058</v>
      </c>
      <c r="C42" s="1149"/>
      <c r="D42" s="1149"/>
      <c r="E42" s="1149"/>
      <c r="F42" s="1149"/>
      <c r="G42" s="1149"/>
      <c r="H42" s="1149"/>
      <c r="I42" s="1149"/>
      <c r="J42" s="1149"/>
      <c r="K42" s="1149"/>
      <c r="L42" s="1149"/>
      <c r="M42" s="1149"/>
      <c r="N42" s="1149"/>
    </row>
    <row r="43" spans="1:14" ht="24" customHeight="1">
      <c r="A43" s="585"/>
      <c r="B43" s="1149" t="s">
        <v>1059</v>
      </c>
      <c r="C43" s="1149"/>
      <c r="D43" s="1149"/>
      <c r="E43" s="1149"/>
      <c r="F43" s="1149"/>
      <c r="G43" s="1149"/>
      <c r="H43" s="1149"/>
      <c r="I43" s="1149"/>
      <c r="J43" s="1149"/>
      <c r="K43" s="1149"/>
      <c r="L43" s="1149"/>
      <c r="M43" s="1149"/>
      <c r="N43" s="1149"/>
    </row>
    <row r="44" spans="1:14" ht="24" customHeight="1">
      <c r="A44" s="585"/>
      <c r="B44" s="1149" t="s">
        <v>1060</v>
      </c>
      <c r="C44" s="1149"/>
      <c r="D44" s="1149"/>
      <c r="E44" s="1149"/>
      <c r="F44" s="1149"/>
      <c r="G44" s="1149"/>
      <c r="H44" s="1149"/>
      <c r="I44" s="1149"/>
      <c r="J44" s="1149"/>
      <c r="K44" s="1149"/>
      <c r="L44" s="1149"/>
      <c r="M44" s="1149"/>
      <c r="N44" s="1149"/>
    </row>
    <row r="45" spans="1:14" ht="24" customHeight="1">
      <c r="A45" s="585"/>
      <c r="B45" s="1149" t="s">
        <v>1061</v>
      </c>
      <c r="C45" s="1149"/>
      <c r="D45" s="1149"/>
      <c r="E45" s="1149"/>
      <c r="F45" s="1149"/>
      <c r="G45" s="1149"/>
      <c r="H45" s="1149"/>
      <c r="I45" s="1149"/>
      <c r="J45" s="1149"/>
      <c r="K45" s="1149"/>
      <c r="L45" s="1149"/>
      <c r="M45" s="1149"/>
      <c r="N45" s="1149"/>
    </row>
    <row r="46" spans="1:14" ht="24" customHeight="1">
      <c r="A46" s="585"/>
      <c r="B46" s="1149" t="s">
        <v>1062</v>
      </c>
      <c r="C46" s="1149"/>
      <c r="D46" s="1149"/>
      <c r="E46" s="1149"/>
      <c r="F46" s="1149"/>
      <c r="G46" s="1149"/>
      <c r="H46" s="1149"/>
      <c r="I46" s="1149"/>
      <c r="J46" s="1149"/>
      <c r="K46" s="1149"/>
      <c r="L46" s="1149"/>
      <c r="M46" s="1149"/>
      <c r="N46" s="1149"/>
    </row>
    <row r="47" spans="1:14" ht="24" customHeight="1">
      <c r="A47" s="585"/>
      <c r="B47" s="1149" t="s">
        <v>1068</v>
      </c>
      <c r="C47" s="1149"/>
      <c r="D47" s="1149"/>
      <c r="E47" s="1149"/>
      <c r="F47" s="1149"/>
      <c r="G47" s="1149"/>
      <c r="H47" s="1149"/>
      <c r="I47" s="1149"/>
      <c r="J47" s="1149"/>
      <c r="K47" s="1149"/>
      <c r="L47" s="1149"/>
      <c r="M47" s="1149"/>
      <c r="N47" s="1149"/>
    </row>
    <row r="48" spans="1:14" ht="24" customHeight="1">
      <c r="A48" s="585"/>
      <c r="B48" s="1149" t="s">
        <v>1063</v>
      </c>
      <c r="C48" s="1149"/>
      <c r="D48" s="1149"/>
      <c r="E48" s="1149"/>
      <c r="F48" s="1149"/>
      <c r="G48" s="1149"/>
      <c r="H48" s="1149"/>
      <c r="I48" s="1149"/>
      <c r="J48" s="1149"/>
      <c r="K48" s="1149"/>
      <c r="L48" s="1149"/>
      <c r="M48" s="1149"/>
      <c r="N48" s="1149"/>
    </row>
    <row r="49" spans="1:15" ht="24" customHeight="1">
      <c r="A49" s="585"/>
      <c r="B49" s="1149" t="s">
        <v>1064</v>
      </c>
      <c r="C49" s="1149"/>
      <c r="D49" s="1149"/>
      <c r="E49" s="1149"/>
      <c r="F49" s="1149"/>
      <c r="G49" s="1149"/>
      <c r="H49" s="1149"/>
      <c r="I49" s="1149"/>
      <c r="J49" s="1149"/>
      <c r="K49" s="1149"/>
      <c r="L49" s="1149"/>
      <c r="M49" s="1149"/>
      <c r="N49" s="1149"/>
    </row>
    <row r="50" spans="1:15" ht="24" customHeight="1">
      <c r="A50" s="585"/>
      <c r="B50" s="1149" t="s">
        <v>1067</v>
      </c>
      <c r="C50" s="1149"/>
      <c r="D50" s="1149"/>
      <c r="E50" s="1149"/>
      <c r="F50" s="1149"/>
      <c r="G50" s="1149"/>
      <c r="H50" s="1149"/>
      <c r="I50" s="1149"/>
      <c r="J50" s="1149"/>
      <c r="K50" s="1149"/>
      <c r="L50" s="1149"/>
      <c r="M50" s="1149"/>
      <c r="N50" s="1149"/>
    </row>
    <row r="51" spans="1:15" ht="24" customHeight="1">
      <c r="A51" s="585"/>
      <c r="B51" s="1149" t="s">
        <v>1065</v>
      </c>
      <c r="C51" s="1149"/>
      <c r="D51" s="1149"/>
      <c r="E51" s="1149"/>
      <c r="F51" s="1149"/>
      <c r="G51" s="1149"/>
      <c r="H51" s="1149"/>
      <c r="I51" s="1149"/>
      <c r="J51" s="1149"/>
      <c r="K51" s="1149"/>
      <c r="L51" s="1149"/>
      <c r="M51" s="1149"/>
      <c r="N51" s="1149"/>
    </row>
    <row r="52" spans="1:15" ht="24" customHeight="1">
      <c r="A52" s="586"/>
      <c r="B52" s="1147"/>
      <c r="C52" s="1147"/>
      <c r="D52" s="1147"/>
      <c r="E52" s="1147"/>
      <c r="F52" s="1147"/>
      <c r="G52" s="1147"/>
      <c r="H52" s="1147"/>
      <c r="I52" s="1147"/>
      <c r="J52" s="1147"/>
      <c r="K52" s="1147"/>
      <c r="L52" s="1147"/>
      <c r="M52" s="1147"/>
      <c r="N52" s="1147"/>
    </row>
    <row r="53" spans="1:15" ht="24" customHeight="1">
      <c r="A53" s="587"/>
      <c r="B53" s="1148" t="s">
        <v>1023</v>
      </c>
      <c r="C53" s="1148"/>
      <c r="D53" s="1148"/>
      <c r="E53" s="1148"/>
      <c r="F53" s="1148"/>
      <c r="G53" s="1148"/>
      <c r="H53" s="1148"/>
      <c r="I53" s="1148"/>
      <c r="J53" s="1148"/>
      <c r="K53" s="1148"/>
      <c r="L53" s="1148"/>
      <c r="M53" s="1148"/>
      <c r="N53" s="1148"/>
      <c r="O53" s="571"/>
    </row>
    <row r="54" spans="1:15" ht="24" customHeight="1">
      <c r="A54" s="587"/>
      <c r="B54" s="1147" t="s">
        <v>1025</v>
      </c>
      <c r="C54" s="1147"/>
      <c r="D54" s="1147"/>
      <c r="E54" s="1147"/>
      <c r="F54" s="1147"/>
      <c r="G54" s="1147"/>
      <c r="H54" s="1147"/>
      <c r="I54" s="1147"/>
      <c r="J54" s="1147"/>
      <c r="K54" s="1147"/>
      <c r="L54" s="1147"/>
      <c r="M54" s="1147"/>
      <c r="N54" s="1147"/>
    </row>
    <row r="55" spans="1:15" ht="24" customHeight="1">
      <c r="A55" s="584"/>
      <c r="B55" s="1147" t="s">
        <v>1024</v>
      </c>
      <c r="C55" s="1147"/>
      <c r="D55" s="1147"/>
      <c r="E55" s="1147"/>
      <c r="F55" s="1147"/>
      <c r="G55" s="1147"/>
      <c r="H55" s="1147"/>
      <c r="I55" s="1147"/>
      <c r="J55" s="1147"/>
      <c r="K55" s="1147"/>
      <c r="L55" s="1147"/>
      <c r="M55" s="1147"/>
      <c r="N55" s="1147"/>
    </row>
    <row r="56" spans="1:15" ht="24" customHeight="1">
      <c r="A56" s="584"/>
      <c r="B56" s="1147" t="s">
        <v>1027</v>
      </c>
      <c r="C56" s="1147"/>
      <c r="D56" s="1147"/>
      <c r="E56" s="1147"/>
      <c r="F56" s="1147"/>
      <c r="G56" s="1147"/>
      <c r="H56" s="1147"/>
      <c r="I56" s="1147"/>
      <c r="J56" s="1147"/>
      <c r="K56" s="1147"/>
      <c r="L56" s="1147"/>
      <c r="M56" s="1147"/>
      <c r="N56" s="1147"/>
    </row>
    <row r="57" spans="1:15" ht="24" customHeight="1">
      <c r="A57" s="584"/>
      <c r="B57" s="1147" t="s">
        <v>1087</v>
      </c>
      <c r="C57" s="1147"/>
      <c r="D57" s="1147"/>
      <c r="E57" s="1147"/>
      <c r="F57" s="1147"/>
      <c r="G57" s="1147"/>
      <c r="H57" s="1147"/>
      <c r="I57" s="1147"/>
      <c r="J57" s="1147"/>
      <c r="K57" s="1147"/>
      <c r="L57" s="1147"/>
      <c r="M57" s="1147"/>
      <c r="N57" s="1147"/>
    </row>
    <row r="58" spans="1:15" ht="24" customHeight="1">
      <c r="A58" s="584"/>
      <c r="B58" s="1147" t="s">
        <v>1034</v>
      </c>
      <c r="C58" s="1147"/>
      <c r="D58" s="1147"/>
      <c r="E58" s="1147"/>
      <c r="F58" s="1147"/>
      <c r="G58" s="1147"/>
      <c r="H58" s="1147"/>
      <c r="I58" s="1147"/>
      <c r="J58" s="1147"/>
      <c r="K58" s="1147"/>
      <c r="L58" s="1147"/>
      <c r="M58" s="1147"/>
      <c r="N58" s="1147"/>
    </row>
    <row r="59" spans="1:15" ht="24" customHeight="1">
      <c r="A59" s="584"/>
      <c r="B59" s="1147" t="s">
        <v>1041</v>
      </c>
      <c r="C59" s="1147"/>
      <c r="D59" s="1147"/>
      <c r="E59" s="1147"/>
      <c r="F59" s="1147"/>
      <c r="G59" s="1147"/>
      <c r="H59" s="1147"/>
      <c r="I59" s="1147"/>
      <c r="J59" s="1147"/>
      <c r="K59" s="1147"/>
      <c r="L59" s="1147"/>
      <c r="M59" s="1147"/>
      <c r="N59" s="1147"/>
    </row>
    <row r="60" spans="1:15" ht="24" customHeight="1">
      <c r="A60" s="584"/>
      <c r="B60" s="1147" t="s">
        <v>1072</v>
      </c>
      <c r="C60" s="1147"/>
      <c r="D60" s="1147"/>
      <c r="E60" s="1147"/>
      <c r="F60" s="1147"/>
      <c r="G60" s="1147"/>
      <c r="H60" s="1147"/>
      <c r="I60" s="1147"/>
      <c r="J60" s="1147"/>
      <c r="K60" s="1147"/>
      <c r="L60" s="1147"/>
      <c r="M60" s="1147"/>
      <c r="N60" s="1147"/>
    </row>
    <row r="61" spans="1:15" ht="24" customHeight="1">
      <c r="A61" s="584"/>
      <c r="B61" s="1147" t="s">
        <v>1042</v>
      </c>
      <c r="C61" s="1147"/>
      <c r="D61" s="1147"/>
      <c r="E61" s="1147"/>
      <c r="F61" s="1147"/>
      <c r="G61" s="1147"/>
      <c r="H61" s="1147"/>
      <c r="I61" s="1147"/>
      <c r="J61" s="1147"/>
      <c r="K61" s="1147"/>
      <c r="L61" s="1147"/>
      <c r="M61" s="1147"/>
      <c r="N61" s="1147"/>
    </row>
    <row r="62" spans="1:15" ht="24" customHeight="1">
      <c r="A62" s="584"/>
      <c r="B62" s="1147" t="s">
        <v>1043</v>
      </c>
      <c r="C62" s="1147"/>
      <c r="D62" s="1147"/>
      <c r="E62" s="1147"/>
      <c r="F62" s="1147"/>
      <c r="G62" s="1147"/>
      <c r="H62" s="1147"/>
      <c r="I62" s="1147"/>
      <c r="J62" s="1147"/>
      <c r="K62" s="1147"/>
      <c r="L62" s="1147"/>
      <c r="M62" s="1147"/>
      <c r="N62" s="1147"/>
    </row>
    <row r="63" spans="1:15" ht="24" customHeight="1">
      <c r="A63" s="584"/>
      <c r="B63" s="1147" t="s">
        <v>1035</v>
      </c>
      <c r="C63" s="1147"/>
      <c r="D63" s="1147"/>
      <c r="E63" s="1147"/>
      <c r="F63" s="1147"/>
      <c r="G63" s="1147"/>
      <c r="H63" s="1147"/>
      <c r="I63" s="1147"/>
      <c r="J63" s="1147"/>
      <c r="K63" s="1147"/>
      <c r="L63" s="1147"/>
      <c r="M63" s="1147"/>
      <c r="N63" s="1147"/>
    </row>
    <row r="64" spans="1:15" ht="24" customHeight="1">
      <c r="A64" s="584"/>
      <c r="B64" s="1147" t="s">
        <v>1088</v>
      </c>
      <c r="C64" s="1147"/>
      <c r="D64" s="1147"/>
      <c r="E64" s="1147"/>
      <c r="F64" s="1147"/>
      <c r="G64" s="1147"/>
      <c r="H64" s="1147"/>
      <c r="I64" s="1147"/>
      <c r="J64" s="1147"/>
      <c r="K64" s="1147"/>
      <c r="L64" s="1147"/>
      <c r="M64" s="1147"/>
      <c r="N64" s="1147"/>
    </row>
    <row r="65" spans="1:14" s="267" customFormat="1" ht="24" customHeight="1">
      <c r="A65" s="582"/>
      <c r="B65" s="1147" t="s">
        <v>1036</v>
      </c>
      <c r="C65" s="1147"/>
      <c r="D65" s="1147"/>
      <c r="E65" s="1147"/>
      <c r="F65" s="1147"/>
      <c r="G65" s="1147"/>
      <c r="H65" s="1147"/>
      <c r="I65" s="1147"/>
      <c r="J65" s="1147"/>
      <c r="K65" s="1147"/>
      <c r="L65" s="1147"/>
      <c r="M65" s="1147"/>
      <c r="N65" s="1147"/>
    </row>
    <row r="66" spans="1:14" ht="24" customHeight="1">
      <c r="A66" s="584"/>
      <c r="B66" s="1148" t="s">
        <v>1044</v>
      </c>
      <c r="C66" s="1148"/>
      <c r="D66" s="1148"/>
      <c r="E66" s="1148"/>
      <c r="F66" s="1148"/>
      <c r="G66" s="1148"/>
      <c r="H66" s="1148"/>
      <c r="I66" s="1148"/>
      <c r="J66" s="1148"/>
      <c r="K66" s="1148"/>
      <c r="L66" s="1148"/>
      <c r="M66" s="1148"/>
      <c r="N66" s="1148"/>
    </row>
    <row r="67" spans="1:14" ht="24" customHeight="1">
      <c r="A67" s="584"/>
      <c r="B67" s="1147" t="s">
        <v>1037</v>
      </c>
      <c r="C67" s="1147"/>
      <c r="D67" s="1147"/>
      <c r="E67" s="1147"/>
      <c r="F67" s="1147"/>
      <c r="G67" s="1147"/>
      <c r="H67" s="1147"/>
      <c r="I67" s="1147"/>
      <c r="J67" s="1147"/>
      <c r="K67" s="1147"/>
      <c r="L67" s="1147"/>
      <c r="M67" s="1147"/>
      <c r="N67" s="1147"/>
    </row>
    <row r="68" spans="1:14" ht="24" customHeight="1">
      <c r="A68" s="584"/>
      <c r="B68" s="1147" t="s">
        <v>1038</v>
      </c>
      <c r="C68" s="1147"/>
      <c r="D68" s="1147"/>
      <c r="E68" s="1147"/>
      <c r="F68" s="1147"/>
      <c r="G68" s="1147"/>
      <c r="H68" s="1147"/>
      <c r="I68" s="1147"/>
      <c r="J68" s="1147"/>
      <c r="K68" s="1147"/>
      <c r="L68" s="1147"/>
      <c r="M68" s="1147"/>
      <c r="N68" s="1147"/>
    </row>
    <row r="69" spans="1:14" ht="24" customHeight="1">
      <c r="A69" s="584"/>
      <c r="B69" s="1147" t="s">
        <v>1040</v>
      </c>
      <c r="C69" s="1147"/>
      <c r="D69" s="1147"/>
      <c r="E69" s="1147"/>
      <c r="F69" s="1147"/>
      <c r="G69" s="1147"/>
      <c r="H69" s="1147"/>
      <c r="I69" s="1147"/>
      <c r="J69" s="1147"/>
      <c r="K69" s="1147"/>
      <c r="L69" s="1147"/>
      <c r="M69" s="1147"/>
      <c r="N69" s="1147"/>
    </row>
    <row r="70" spans="1:14" ht="24" customHeight="1">
      <c r="A70" s="584"/>
      <c r="B70" s="1147" t="s">
        <v>1039</v>
      </c>
      <c r="C70" s="1147"/>
      <c r="D70" s="1147"/>
      <c r="E70" s="1147"/>
      <c r="F70" s="1147"/>
      <c r="G70" s="1147"/>
      <c r="H70" s="1147"/>
      <c r="I70" s="1147"/>
      <c r="J70" s="1147"/>
      <c r="K70" s="1147"/>
      <c r="L70" s="1147"/>
      <c r="M70" s="1147"/>
      <c r="N70" s="1147"/>
    </row>
    <row r="71" spans="1:14" ht="24" customHeight="1">
      <c r="A71" s="584"/>
      <c r="B71" s="1147"/>
      <c r="C71" s="1147"/>
      <c r="D71" s="1147"/>
      <c r="E71" s="1147"/>
      <c r="F71" s="1147"/>
      <c r="G71" s="1147"/>
      <c r="H71" s="1147"/>
      <c r="I71" s="1147"/>
      <c r="J71" s="1147"/>
      <c r="K71" s="1147"/>
      <c r="L71" s="1147"/>
      <c r="M71" s="1147"/>
      <c r="N71" s="1147"/>
    </row>
    <row r="72" spans="1:14" ht="24" customHeight="1">
      <c r="A72" s="584"/>
      <c r="B72" s="1147"/>
      <c r="C72" s="1147"/>
      <c r="D72" s="1147"/>
      <c r="E72" s="1147"/>
      <c r="F72" s="1147"/>
      <c r="G72" s="1147"/>
      <c r="H72" s="1147"/>
      <c r="I72" s="1147"/>
      <c r="J72" s="1147"/>
      <c r="K72" s="1147"/>
      <c r="L72" s="1147"/>
      <c r="M72" s="1147"/>
      <c r="N72" s="1147"/>
    </row>
    <row r="73" spans="1:14" ht="24" customHeight="1">
      <c r="A73" s="36"/>
      <c r="B73" s="1147"/>
      <c r="C73" s="1147"/>
      <c r="D73" s="1147"/>
      <c r="E73" s="1147"/>
      <c r="F73" s="1147"/>
      <c r="G73" s="1147"/>
      <c r="H73" s="1147"/>
      <c r="I73" s="1147"/>
      <c r="J73" s="1147"/>
      <c r="K73" s="1147"/>
      <c r="L73" s="1147"/>
      <c r="M73" s="1147"/>
      <c r="N73" s="1147"/>
    </row>
    <row r="74" spans="1:14" ht="24" customHeight="1">
      <c r="A74" s="36"/>
      <c r="B74" s="1147"/>
      <c r="C74" s="1147"/>
      <c r="D74" s="1147"/>
      <c r="E74" s="1147"/>
      <c r="F74" s="1147"/>
      <c r="G74" s="1147"/>
      <c r="H74" s="1147"/>
      <c r="I74" s="1147"/>
      <c r="J74" s="1147"/>
      <c r="K74" s="1147"/>
      <c r="L74" s="1147"/>
      <c r="M74" s="1147"/>
      <c r="N74" s="1147"/>
    </row>
    <row r="75" spans="1:14" ht="24" customHeight="1">
      <c r="A75" s="36"/>
      <c r="B75" s="1147"/>
      <c r="C75" s="1147"/>
      <c r="D75" s="1147"/>
      <c r="E75" s="1147"/>
      <c r="F75" s="1147"/>
      <c r="G75" s="1147"/>
      <c r="H75" s="1147"/>
      <c r="I75" s="1147"/>
      <c r="J75" s="1147"/>
      <c r="K75" s="1147"/>
      <c r="L75" s="1147"/>
      <c r="M75" s="1147"/>
      <c r="N75" s="1147"/>
    </row>
    <row r="76" spans="1:14" ht="24" customHeight="1">
      <c r="A76" s="36"/>
      <c r="B76" s="1147"/>
      <c r="C76" s="1147"/>
      <c r="D76" s="1147"/>
      <c r="E76" s="1147"/>
      <c r="F76" s="1147"/>
      <c r="G76" s="1147"/>
      <c r="H76" s="1147"/>
      <c r="I76" s="1147"/>
      <c r="J76" s="1147"/>
      <c r="K76" s="1147"/>
      <c r="L76" s="1147"/>
      <c r="M76" s="1147"/>
      <c r="N76" s="1147"/>
    </row>
    <row r="77" spans="1:14" ht="24" customHeight="1">
      <c r="A77" s="36"/>
      <c r="B77" s="1147"/>
      <c r="C77" s="1147"/>
      <c r="D77" s="1147"/>
      <c r="E77" s="1147"/>
      <c r="F77" s="1147"/>
      <c r="G77" s="1147"/>
      <c r="H77" s="1147"/>
      <c r="I77" s="1147"/>
      <c r="J77" s="1147"/>
      <c r="K77" s="1147"/>
      <c r="L77" s="1147"/>
      <c r="M77" s="1147"/>
      <c r="N77" s="1147"/>
    </row>
    <row r="78" spans="1:14" ht="24" customHeight="1">
      <c r="A78" s="36"/>
      <c r="B78" s="36"/>
      <c r="C78" s="36"/>
      <c r="D78" s="36"/>
      <c r="E78" s="36"/>
      <c r="F78" s="36"/>
      <c r="G78" s="36"/>
      <c r="H78" s="36"/>
      <c r="I78" s="36"/>
    </row>
  </sheetData>
  <mergeCells count="52">
    <mergeCell ref="B26:I26"/>
    <mergeCell ref="B45:N45"/>
    <mergeCell ref="B46:N46"/>
    <mergeCell ref="B47:N47"/>
    <mergeCell ref="B48:N48"/>
    <mergeCell ref="B44:N44"/>
    <mergeCell ref="B43:N43"/>
    <mergeCell ref="B27:N27"/>
    <mergeCell ref="B28:N28"/>
    <mergeCell ref="B29:N29"/>
    <mergeCell ref="B30:N30"/>
    <mergeCell ref="B31:N31"/>
    <mergeCell ref="B32:N32"/>
    <mergeCell ref="B33:N33"/>
    <mergeCell ref="B34:N34"/>
    <mergeCell ref="B35:N35"/>
    <mergeCell ref="B36:N36"/>
    <mergeCell ref="B37:N37"/>
    <mergeCell ref="B38:N38"/>
    <mergeCell ref="B39:N39"/>
    <mergeCell ref="B40:N40"/>
    <mergeCell ref="B41:N41"/>
    <mergeCell ref="B42:N42"/>
    <mergeCell ref="B60:N60"/>
    <mergeCell ref="B49:N49"/>
    <mergeCell ref="B50:N50"/>
    <mergeCell ref="B51:N51"/>
    <mergeCell ref="B52:N52"/>
    <mergeCell ref="B53:N53"/>
    <mergeCell ref="B54:N54"/>
    <mergeCell ref="B55:N55"/>
    <mergeCell ref="B56:N56"/>
    <mergeCell ref="B57:N57"/>
    <mergeCell ref="B58:N58"/>
    <mergeCell ref="B59:N59"/>
    <mergeCell ref="B72:N72"/>
    <mergeCell ref="B61:N61"/>
    <mergeCell ref="B62:N62"/>
    <mergeCell ref="B63:N63"/>
    <mergeCell ref="B64:N64"/>
    <mergeCell ref="B65:N65"/>
    <mergeCell ref="B66:N66"/>
    <mergeCell ref="B67:N67"/>
    <mergeCell ref="B68:N68"/>
    <mergeCell ref="B69:N69"/>
    <mergeCell ref="B70:N70"/>
    <mergeCell ref="B71:N71"/>
    <mergeCell ref="B73:N73"/>
    <mergeCell ref="B74:N74"/>
    <mergeCell ref="B75:N75"/>
    <mergeCell ref="B76:N76"/>
    <mergeCell ref="B77:N77"/>
  </mergeCells>
  <phoneticPr fontId="41" type="noConversion"/>
  <printOptions horizontalCentered="1"/>
  <pageMargins left="0.25" right="0" top="1" bottom="0.25" header="0.5" footer="0.5"/>
  <pageSetup paperSize="9"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7"/>
  <sheetViews>
    <sheetView showZeros="0" topLeftCell="A34" workbookViewId="0">
      <selection activeCell="A24" sqref="A24:D24"/>
    </sheetView>
  </sheetViews>
  <sheetFormatPr defaultRowHeight="18" customHeight="1"/>
  <cols>
    <col min="1" max="1" width="37" customWidth="1"/>
    <col min="2" max="2" width="12.7109375" customWidth="1"/>
    <col min="3" max="3" width="34.5703125" customWidth="1"/>
    <col min="4" max="4" width="12.7109375" customWidth="1"/>
  </cols>
  <sheetData>
    <row r="1" spans="1:4" ht="18" customHeight="1">
      <c r="A1" s="1151" t="s">
        <v>134</v>
      </c>
      <c r="B1" s="1151"/>
      <c r="C1" s="1151"/>
      <c r="D1" s="1151"/>
    </row>
    <row r="2" spans="1:4" s="329" customFormat="1" ht="18" customHeight="1">
      <c r="A2" s="328" t="s">
        <v>891</v>
      </c>
      <c r="B2" s="328" t="s">
        <v>892</v>
      </c>
      <c r="C2" s="328" t="s">
        <v>893</v>
      </c>
      <c r="D2" s="328" t="s">
        <v>892</v>
      </c>
    </row>
    <row r="3" spans="1:4" s="329" customFormat="1" ht="18" customHeight="1">
      <c r="A3" s="331"/>
      <c r="B3" s="330"/>
      <c r="C3" s="374" t="s">
        <v>72</v>
      </c>
      <c r="D3" s="369"/>
    </row>
    <row r="4" spans="1:4" s="329" customFormat="1" ht="18" customHeight="1">
      <c r="A4" s="344" t="s">
        <v>63</v>
      </c>
      <c r="B4" s="359"/>
      <c r="C4" s="375" t="s">
        <v>61</v>
      </c>
      <c r="D4" s="370"/>
    </row>
    <row r="5" spans="1:4" s="329" customFormat="1" ht="18" customHeight="1">
      <c r="A5" s="344" t="s">
        <v>73</v>
      </c>
      <c r="B5" s="359"/>
      <c r="C5" s="339"/>
      <c r="D5" s="357"/>
    </row>
    <row r="6" spans="1:4" s="329" customFormat="1" ht="18" customHeight="1">
      <c r="A6" s="344" t="s">
        <v>114</v>
      </c>
      <c r="B6" s="359"/>
      <c r="C6" s="339"/>
      <c r="D6" s="357"/>
    </row>
    <row r="7" spans="1:4" s="329" customFormat="1" ht="18" customHeight="1">
      <c r="A7" s="344" t="s">
        <v>115</v>
      </c>
      <c r="B7" s="359"/>
      <c r="C7" s="339"/>
      <c r="D7" s="357"/>
    </row>
    <row r="8" spans="1:4" s="329" customFormat="1" ht="18" customHeight="1">
      <c r="A8" s="344" t="s">
        <v>116</v>
      </c>
      <c r="B8" s="359"/>
      <c r="C8" s="339"/>
      <c r="D8" s="357"/>
    </row>
    <row r="9" spans="1:4" s="329" customFormat="1" ht="18" customHeight="1">
      <c r="A9" s="344" t="s">
        <v>46</v>
      </c>
      <c r="B9" s="359"/>
      <c r="C9" s="339"/>
      <c r="D9" s="357"/>
    </row>
    <row r="10" spans="1:4" s="329" customFormat="1" ht="18" customHeight="1">
      <c r="A10" s="344" t="s">
        <v>621</v>
      </c>
      <c r="B10" s="359"/>
      <c r="C10" s="339"/>
      <c r="D10" s="357"/>
    </row>
    <row r="11" spans="1:4" ht="18" customHeight="1">
      <c r="A11" s="344" t="s">
        <v>143</v>
      </c>
      <c r="B11" s="371"/>
      <c r="C11" s="337"/>
      <c r="D11" s="357"/>
    </row>
    <row r="12" spans="1:4" ht="18" customHeight="1">
      <c r="A12" s="344" t="s">
        <v>551</v>
      </c>
      <c r="B12" s="371"/>
      <c r="C12" s="337"/>
      <c r="D12" s="357"/>
    </row>
    <row r="13" spans="1:4" ht="18" customHeight="1">
      <c r="A13" s="344" t="s">
        <v>175</v>
      </c>
      <c r="B13" s="371"/>
      <c r="C13" s="337"/>
      <c r="D13" s="357"/>
    </row>
    <row r="14" spans="1:4" ht="18" customHeight="1">
      <c r="A14" s="344" t="s">
        <v>75</v>
      </c>
      <c r="B14" s="371"/>
      <c r="C14" s="337"/>
      <c r="D14" s="357"/>
    </row>
    <row r="15" spans="1:4" ht="18" customHeight="1">
      <c r="A15" s="344" t="s">
        <v>76</v>
      </c>
      <c r="B15" s="371"/>
      <c r="C15" s="337"/>
      <c r="D15" s="357"/>
    </row>
    <row r="16" spans="1:4" ht="18" customHeight="1">
      <c r="A16" s="344" t="s">
        <v>449</v>
      </c>
      <c r="B16" s="371"/>
      <c r="C16" s="337"/>
      <c r="D16" s="357"/>
    </row>
    <row r="17" spans="1:4" ht="18" customHeight="1">
      <c r="A17" s="344" t="s">
        <v>290</v>
      </c>
      <c r="B17" s="371"/>
      <c r="C17" s="337"/>
      <c r="D17" s="357"/>
    </row>
    <row r="18" spans="1:4" ht="18" customHeight="1">
      <c r="A18" s="344" t="s">
        <v>552</v>
      </c>
      <c r="B18" s="371"/>
      <c r="C18" s="337"/>
      <c r="D18" s="357"/>
    </row>
    <row r="19" spans="1:4" ht="18" customHeight="1">
      <c r="A19" s="344" t="s">
        <v>825</v>
      </c>
      <c r="B19" s="371"/>
      <c r="C19" s="337"/>
      <c r="D19" s="357"/>
    </row>
    <row r="20" spans="1:4" ht="18" customHeight="1">
      <c r="A20" s="344" t="s">
        <v>301</v>
      </c>
      <c r="B20" s="371"/>
      <c r="D20" s="357"/>
    </row>
    <row r="21" spans="1:4" ht="18" customHeight="1">
      <c r="A21" s="372"/>
      <c r="B21" s="366">
        <f>SUM(B3:B20)</f>
        <v>0</v>
      </c>
      <c r="D21" s="357"/>
    </row>
    <row r="22" spans="1:4" ht="18" customHeight="1">
      <c r="A22" s="373" t="s">
        <v>958</v>
      </c>
      <c r="B22" s="367">
        <f>D23-B21</f>
        <v>0</v>
      </c>
      <c r="D22" s="357"/>
    </row>
    <row r="23" spans="1:4" s="336" customFormat="1" ht="18" customHeight="1" thickBot="1">
      <c r="A23" s="333"/>
      <c r="B23" s="334">
        <f>+D23</f>
        <v>0</v>
      </c>
      <c r="C23" s="335"/>
      <c r="D23" s="334">
        <f>SUM(D3:D21)</f>
        <v>0</v>
      </c>
    </row>
    <row r="24" spans="1:4" ht="18" customHeight="1" thickTop="1">
      <c r="A24" s="1151" t="s">
        <v>135</v>
      </c>
      <c r="B24" s="1151"/>
      <c r="C24" s="1151"/>
      <c r="D24" s="1151"/>
    </row>
    <row r="25" spans="1:4" ht="18" customHeight="1">
      <c r="A25" s="328" t="s">
        <v>894</v>
      </c>
      <c r="B25" s="328" t="s">
        <v>892</v>
      </c>
      <c r="C25" s="328" t="s">
        <v>895</v>
      </c>
      <c r="D25" s="328" t="s">
        <v>892</v>
      </c>
    </row>
    <row r="26" spans="1:4" ht="18" customHeight="1">
      <c r="A26" s="343" t="s">
        <v>908</v>
      </c>
      <c r="B26" s="358"/>
      <c r="C26" s="338" t="s">
        <v>935</v>
      </c>
      <c r="D26" s="357"/>
    </row>
    <row r="27" spans="1:4" ht="18" customHeight="1">
      <c r="A27" s="344" t="s">
        <v>909</v>
      </c>
      <c r="B27" s="365">
        <f>B39-SUM((B29:B38))</f>
        <v>0</v>
      </c>
      <c r="C27" s="348" t="s">
        <v>936</v>
      </c>
      <c r="D27" s="362"/>
    </row>
    <row r="28" spans="1:4" ht="18" customHeight="1">
      <c r="A28" s="340"/>
      <c r="B28" s="358"/>
      <c r="C28" s="348" t="s">
        <v>825</v>
      </c>
      <c r="D28" s="363"/>
    </row>
    <row r="29" spans="1:4" ht="18" customHeight="1">
      <c r="A29" s="345" t="s">
        <v>8</v>
      </c>
      <c r="B29" s="358"/>
      <c r="C29" s="338" t="s">
        <v>956</v>
      </c>
      <c r="D29" s="364"/>
    </row>
    <row r="30" spans="1:4" ht="18" customHeight="1">
      <c r="A30" s="344" t="s">
        <v>9</v>
      </c>
      <c r="B30" s="360"/>
      <c r="C30" s="349" t="s">
        <v>970</v>
      </c>
      <c r="D30" s="362"/>
    </row>
    <row r="31" spans="1:4" ht="18" customHeight="1">
      <c r="A31" s="340"/>
      <c r="B31" s="358"/>
      <c r="C31" s="387" t="s">
        <v>959</v>
      </c>
      <c r="D31" s="362"/>
    </row>
    <row r="32" spans="1:4" ht="18" customHeight="1">
      <c r="A32" s="340"/>
      <c r="B32" s="358"/>
      <c r="C32" s="350" t="s">
        <v>549</v>
      </c>
      <c r="D32" s="362"/>
    </row>
    <row r="33" spans="1:5" ht="18" customHeight="1">
      <c r="A33" s="340"/>
      <c r="B33" s="358"/>
      <c r="C33" s="350" t="s">
        <v>410</v>
      </c>
      <c r="D33" s="362"/>
    </row>
    <row r="34" spans="1:5" ht="18" customHeight="1">
      <c r="A34" s="346"/>
      <c r="B34" s="361"/>
      <c r="C34" s="350" t="s">
        <v>411</v>
      </c>
      <c r="D34" s="362"/>
    </row>
    <row r="35" spans="1:5" ht="18" customHeight="1">
      <c r="A35" s="346"/>
      <c r="B35" s="361"/>
      <c r="C35" s="350" t="s">
        <v>977</v>
      </c>
      <c r="D35" s="362"/>
    </row>
    <row r="36" spans="1:5" ht="18" customHeight="1">
      <c r="A36" s="340"/>
      <c r="B36" s="356"/>
      <c r="C36" s="338" t="s">
        <v>2</v>
      </c>
      <c r="D36" s="364"/>
    </row>
    <row r="37" spans="1:5" ht="26.25" customHeight="1">
      <c r="A37" s="341"/>
      <c r="B37" s="342"/>
      <c r="C37" s="388" t="s">
        <v>3</v>
      </c>
      <c r="D37" s="362"/>
    </row>
    <row r="38" spans="1:5" ht="18" customHeight="1">
      <c r="A38" s="347"/>
      <c r="B38" s="332"/>
      <c r="C38" s="351" t="s">
        <v>5</v>
      </c>
      <c r="D38" s="362"/>
    </row>
    <row r="39" spans="1:5" s="336" customFormat="1" ht="18" customHeight="1" thickBot="1">
      <c r="A39" s="333"/>
      <c r="B39" s="368">
        <f>+D39</f>
        <v>0</v>
      </c>
      <c r="C39" s="335"/>
      <c r="D39" s="368">
        <f>SUM(D26:D38)</f>
        <v>0</v>
      </c>
    </row>
    <row r="40" spans="1:5" s="14" customFormat="1" ht="18" customHeight="1" thickTop="1">
      <c r="A40" s="352" t="s">
        <v>883</v>
      </c>
      <c r="B40" s="38" t="s">
        <v>884</v>
      </c>
    </row>
    <row r="41" spans="1:5" s="14" customFormat="1" ht="18" customHeight="1">
      <c r="A41" s="353" t="s">
        <v>885</v>
      </c>
      <c r="B41" s="355" t="s">
        <v>886</v>
      </c>
    </row>
    <row r="42" spans="1:5" s="14" customFormat="1" ht="18" customHeight="1">
      <c r="A42" s="353" t="s">
        <v>887</v>
      </c>
      <c r="B42" s="355" t="s">
        <v>888</v>
      </c>
    </row>
    <row r="43" spans="1:5" s="14" customFormat="1" ht="18" customHeight="1">
      <c r="A43" s="354"/>
      <c r="B43" s="38" t="s">
        <v>889</v>
      </c>
    </row>
    <row r="44" spans="1:5" s="14" customFormat="1" ht="18" customHeight="1">
      <c r="A44" s="353" t="s">
        <v>885</v>
      </c>
      <c r="B44" s="355" t="s">
        <v>620</v>
      </c>
    </row>
    <row r="45" spans="1:5" s="14" customFormat="1" ht="18" customHeight="1">
      <c r="A45" s="353" t="s">
        <v>887</v>
      </c>
      <c r="B45" s="355" t="s">
        <v>890</v>
      </c>
    </row>
    <row r="46" spans="1:5" ht="18" customHeight="1">
      <c r="A46" s="352" t="s">
        <v>481</v>
      </c>
      <c r="B46" s="355" t="s">
        <v>482</v>
      </c>
      <c r="C46" s="14"/>
      <c r="D46" s="14"/>
      <c r="E46" t="s">
        <v>484</v>
      </c>
    </row>
    <row r="47" spans="1:5" ht="18" customHeight="1">
      <c r="B47" s="355" t="s">
        <v>483</v>
      </c>
      <c r="E47" t="s">
        <v>485</v>
      </c>
    </row>
  </sheetData>
  <mergeCells count="2">
    <mergeCell ref="A1:D1"/>
    <mergeCell ref="A24:D24"/>
  </mergeCells>
  <phoneticPr fontId="41" type="noConversion"/>
  <printOptions horizontalCentered="1"/>
  <pageMargins left="0.25" right="0.25" top="0.5" bottom="0.5" header="0.5" footer="0.5"/>
  <pageSetup paperSize="9" orientation="portrait" r:id="rId1"/>
  <headerFooter alignWithMargins="0"/>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66"/>
  <sheetViews>
    <sheetView showZeros="0" zoomScale="120" zoomScaleNormal="120" workbookViewId="0">
      <selection activeCell="I38" sqref="I38"/>
    </sheetView>
  </sheetViews>
  <sheetFormatPr defaultRowHeight="12.75"/>
  <cols>
    <col min="1" max="1" width="2.7109375" style="581" customWidth="1"/>
    <col min="2" max="2" width="10.42578125" customWidth="1"/>
    <col min="3" max="3" width="11" customWidth="1"/>
    <col min="4" max="4" width="11.140625" customWidth="1"/>
    <col min="5" max="5" width="14.42578125" customWidth="1"/>
    <col min="6" max="7" width="9" customWidth="1"/>
    <col min="8" max="8" width="12.42578125" customWidth="1"/>
    <col min="9" max="9" width="3.28515625" style="1" customWidth="1"/>
    <col min="13" max="13" width="10.5703125" customWidth="1"/>
    <col min="15" max="15" width="10.7109375" customWidth="1"/>
  </cols>
  <sheetData>
    <row r="1" spans="1:16" s="17" customFormat="1" ht="15.95" customHeight="1">
      <c r="A1" s="576"/>
      <c r="B1" s="1153" t="s">
        <v>1071</v>
      </c>
      <c r="C1" s="1153"/>
      <c r="D1" s="1153"/>
      <c r="E1" s="1153"/>
      <c r="F1" s="1153"/>
      <c r="G1" s="1153"/>
      <c r="H1" s="1153"/>
      <c r="I1" s="1153"/>
    </row>
    <row r="2" spans="1:16" s="36" customFormat="1" ht="15" customHeight="1">
      <c r="A2" s="577"/>
      <c r="B2" s="1154" t="s">
        <v>563</v>
      </c>
      <c r="C2" s="1154"/>
      <c r="D2" s="1154"/>
      <c r="E2" s="1154"/>
      <c r="F2" s="1154"/>
      <c r="G2" s="1154"/>
      <c r="H2" s="1154"/>
      <c r="I2" s="1154"/>
    </row>
    <row r="3" spans="1:16" ht="15" customHeight="1">
      <c r="A3" s="578"/>
      <c r="B3" s="559" t="s">
        <v>513</v>
      </c>
      <c r="C3" s="1"/>
      <c r="D3" s="1"/>
      <c r="E3" s="1"/>
      <c r="F3" s="1"/>
      <c r="G3" s="1"/>
      <c r="H3" s="506" t="s">
        <v>517</v>
      </c>
      <c r="I3" s="544"/>
      <c r="J3" s="36"/>
      <c r="K3" s="36"/>
      <c r="L3" s="36"/>
      <c r="M3" s="36"/>
      <c r="N3" s="36"/>
      <c r="O3" s="36"/>
      <c r="P3" s="36"/>
    </row>
    <row r="4" spans="1:16" ht="15" customHeight="1">
      <c r="A4" s="579"/>
      <c r="B4" s="18"/>
      <c r="C4" s="1152" t="s">
        <v>567</v>
      </c>
      <c r="D4" s="1152"/>
      <c r="E4" s="1"/>
      <c r="F4" s="1"/>
      <c r="G4" s="41"/>
      <c r="H4" s="29"/>
      <c r="I4" s="545"/>
      <c r="J4" s="36"/>
      <c r="K4" s="36"/>
      <c r="L4" s="36"/>
      <c r="M4" s="36"/>
      <c r="N4" s="36"/>
      <c r="O4" s="36"/>
      <c r="P4" s="36"/>
    </row>
    <row r="5" spans="1:16">
      <c r="A5" s="579"/>
      <c r="B5" s="1"/>
      <c r="C5" s="11" t="s">
        <v>525</v>
      </c>
      <c r="D5" s="1"/>
      <c r="E5" s="1"/>
      <c r="F5" s="37"/>
      <c r="G5" s="105"/>
      <c r="H5" s="507">
        <f>G4-G5</f>
        <v>0</v>
      </c>
      <c r="I5" s="134" t="str">
        <f>IF(H5&lt;&gt;0,0,"NIL")</f>
        <v>NIL</v>
      </c>
      <c r="J5" s="36"/>
      <c r="K5" s="36"/>
      <c r="L5" s="36"/>
      <c r="M5" s="36"/>
      <c r="N5" s="36"/>
      <c r="O5" s="36"/>
      <c r="P5" s="36"/>
    </row>
    <row r="6" spans="1:16" ht="15" customHeight="1">
      <c r="A6" s="579"/>
      <c r="B6" s="559" t="s">
        <v>511</v>
      </c>
      <c r="C6" s="1"/>
      <c r="D6" s="27" t="s">
        <v>566</v>
      </c>
      <c r="E6" s="14"/>
      <c r="F6" s="1"/>
      <c r="G6" s="1"/>
      <c r="H6" s="508"/>
      <c r="I6" s="545"/>
      <c r="J6" s="36"/>
      <c r="K6" s="36"/>
      <c r="L6" s="36"/>
      <c r="M6" s="36"/>
      <c r="N6" s="36"/>
      <c r="O6" s="36"/>
      <c r="P6" s="36"/>
    </row>
    <row r="7" spans="1:16" ht="15.75" customHeight="1">
      <c r="A7" s="579"/>
      <c r="B7" s="1"/>
      <c r="C7" s="11" t="s">
        <v>496</v>
      </c>
      <c r="D7" s="1"/>
      <c r="E7" s="1"/>
      <c r="F7" s="1"/>
      <c r="G7" s="14"/>
      <c r="H7" s="29"/>
      <c r="I7" s="545"/>
      <c r="J7" s="36"/>
      <c r="K7" s="36"/>
      <c r="L7" s="36"/>
      <c r="M7" s="36"/>
      <c r="N7" s="36"/>
      <c r="O7" s="36"/>
      <c r="P7" s="36"/>
    </row>
    <row r="8" spans="1:16">
      <c r="A8" s="579"/>
      <c r="B8" s="1"/>
      <c r="C8" s="11" t="s">
        <v>514</v>
      </c>
      <c r="D8" s="1"/>
      <c r="E8" s="1"/>
      <c r="F8" s="1"/>
      <c r="G8" s="502">
        <f>ROUND(G7*0.3,0)</f>
        <v>0</v>
      </c>
      <c r="H8" s="509">
        <f>G7-G8</f>
        <v>0</v>
      </c>
      <c r="I8" s="134" t="str">
        <f>IF(H8&lt;&gt;0,0,"NIL")</f>
        <v>NIL</v>
      </c>
      <c r="J8" s="36"/>
      <c r="K8" s="36"/>
      <c r="L8" s="36"/>
      <c r="M8" s="36"/>
      <c r="N8" s="36"/>
      <c r="O8" s="36"/>
      <c r="P8" s="36"/>
    </row>
    <row r="9" spans="1:16" ht="15" customHeight="1">
      <c r="A9" s="579"/>
      <c r="B9" s="559" t="s">
        <v>502</v>
      </c>
      <c r="C9" s="4"/>
      <c r="D9" s="1"/>
      <c r="E9" s="1"/>
      <c r="F9" s="1"/>
      <c r="G9" s="14"/>
      <c r="H9" s="29"/>
      <c r="I9" s="545"/>
      <c r="J9" s="36"/>
      <c r="K9" s="36"/>
      <c r="L9" s="36"/>
      <c r="M9" s="36"/>
      <c r="N9" s="36"/>
      <c r="O9" s="36"/>
      <c r="P9" s="36"/>
    </row>
    <row r="10" spans="1:16" ht="14.25" customHeight="1">
      <c r="A10" s="579"/>
      <c r="B10" s="18"/>
      <c r="C10" s="408" t="s">
        <v>991</v>
      </c>
      <c r="D10" s="1"/>
      <c r="E10" s="1"/>
      <c r="F10" s="1"/>
      <c r="G10" s="14"/>
      <c r="H10" s="29"/>
      <c r="I10" s="545"/>
      <c r="J10" s="36"/>
      <c r="K10" s="36"/>
      <c r="L10" s="36"/>
      <c r="M10" s="36"/>
      <c r="N10" s="36"/>
      <c r="O10" s="36"/>
      <c r="P10" s="36"/>
    </row>
    <row r="11" spans="1:16">
      <c r="A11" s="579"/>
      <c r="B11" s="1"/>
      <c r="C11" s="408" t="s">
        <v>992</v>
      </c>
      <c r="D11" s="1"/>
      <c r="E11" s="1"/>
      <c r="F11" s="44"/>
      <c r="G11" s="14"/>
      <c r="H11" s="510">
        <f>+SBR!H14</f>
        <v>0</v>
      </c>
      <c r="I11" s="134" t="str">
        <f>IF(H11&lt;&gt;0,0,"NIL")</f>
        <v>NIL</v>
      </c>
      <c r="J11" s="36"/>
      <c r="K11" s="36"/>
      <c r="L11" s="36"/>
      <c r="M11" s="36"/>
      <c r="N11" s="36"/>
      <c r="O11" s="36"/>
      <c r="P11" s="36"/>
    </row>
    <row r="12" spans="1:16" ht="15" customHeight="1">
      <c r="A12" s="579"/>
      <c r="B12" s="559" t="s">
        <v>497</v>
      </c>
      <c r="C12" s="1"/>
      <c r="D12" s="1"/>
      <c r="E12" s="1"/>
      <c r="F12" s="1"/>
      <c r="G12" s="1"/>
      <c r="H12" s="29"/>
      <c r="I12" s="546"/>
      <c r="J12" s="36"/>
      <c r="K12" s="36"/>
      <c r="L12" s="36"/>
      <c r="M12" s="36"/>
      <c r="N12" s="36"/>
      <c r="O12" s="36"/>
      <c r="P12" s="36"/>
    </row>
    <row r="13" spans="1:16">
      <c r="A13" s="579"/>
      <c r="B13" s="1"/>
      <c r="C13" s="11" t="s">
        <v>498</v>
      </c>
      <c r="D13" s="1"/>
      <c r="E13" s="1"/>
      <c r="F13" s="1"/>
      <c r="G13" s="14"/>
      <c r="H13" s="29"/>
      <c r="I13" s="545"/>
      <c r="K13" s="556"/>
      <c r="L13" s="554"/>
      <c r="M13" s="554"/>
      <c r="N13" s="53"/>
      <c r="O13" s="558"/>
      <c r="P13" s="554"/>
    </row>
    <row r="14" spans="1:16">
      <c r="A14" s="579"/>
      <c r="B14" s="1"/>
      <c r="C14" s="11" t="s">
        <v>499</v>
      </c>
      <c r="D14" s="1"/>
      <c r="E14" s="1"/>
      <c r="F14" s="1"/>
      <c r="G14" s="502"/>
      <c r="H14" s="511">
        <f>G13+G14</f>
        <v>0</v>
      </c>
      <c r="I14" s="134" t="str">
        <f>IF(H14&lt;&gt;0,0,"NIL")</f>
        <v>NIL</v>
      </c>
      <c r="K14" s="8"/>
      <c r="L14" s="554"/>
      <c r="M14" s="554"/>
      <c r="N14" s="53"/>
      <c r="O14" s="558"/>
      <c r="P14" s="554"/>
    </row>
    <row r="15" spans="1:16" ht="13.5" customHeight="1">
      <c r="A15" s="578"/>
      <c r="B15" s="559" t="s">
        <v>500</v>
      </c>
      <c r="C15" s="1"/>
      <c r="D15" s="1"/>
      <c r="E15" s="1"/>
      <c r="F15" s="1"/>
      <c r="G15" s="1"/>
      <c r="H15" s="29"/>
      <c r="I15" s="545"/>
      <c r="K15" s="8"/>
      <c r="L15" s="554"/>
      <c r="M15" s="554"/>
      <c r="N15" s="53"/>
      <c r="O15" s="558"/>
      <c r="P15" s="554"/>
    </row>
    <row r="16" spans="1:16">
      <c r="A16" s="579"/>
      <c r="B16" s="18"/>
      <c r="C16" s="8" t="s">
        <v>980</v>
      </c>
      <c r="D16" s="8"/>
      <c r="E16" s="8"/>
      <c r="F16" s="8"/>
      <c r="G16" s="41"/>
      <c r="H16" s="29"/>
      <c r="I16" s="545"/>
      <c r="K16" s="8"/>
      <c r="L16" s="554"/>
      <c r="M16" s="554"/>
      <c r="N16" s="53"/>
      <c r="O16" s="558"/>
      <c r="P16" s="554"/>
    </row>
    <row r="17" spans="1:16">
      <c r="A17" s="579"/>
      <c r="B17" s="18"/>
      <c r="C17" s="8" t="s">
        <v>1000</v>
      </c>
      <c r="D17" s="8"/>
      <c r="E17" s="8"/>
      <c r="F17" s="8"/>
      <c r="G17" s="41"/>
      <c r="H17" s="29"/>
      <c r="I17" s="545"/>
      <c r="K17" s="8"/>
      <c r="L17" s="554"/>
      <c r="M17" s="554"/>
      <c r="N17" s="53"/>
      <c r="O17" s="558"/>
      <c r="P17" s="554"/>
    </row>
    <row r="18" spans="1:16">
      <c r="A18" s="579"/>
      <c r="B18" s="18"/>
      <c r="C18" s="8"/>
      <c r="D18" s="8"/>
      <c r="E18" s="8"/>
      <c r="F18" s="8"/>
      <c r="G18" s="8"/>
      <c r="H18" s="29"/>
      <c r="I18" s="545"/>
      <c r="K18" s="554"/>
      <c r="L18" s="554"/>
      <c r="M18" s="554"/>
      <c r="N18" s="53"/>
      <c r="O18" s="558"/>
      <c r="P18" s="554"/>
    </row>
    <row r="19" spans="1:16">
      <c r="A19" s="579"/>
      <c r="B19" s="18"/>
      <c r="C19" s="8"/>
      <c r="D19" s="8"/>
      <c r="E19" s="8"/>
      <c r="F19" s="8"/>
      <c r="G19" s="8"/>
      <c r="H19" s="29"/>
      <c r="I19" s="545"/>
      <c r="K19" s="8"/>
      <c r="L19" s="12"/>
      <c r="M19" s="554"/>
      <c r="N19" s="53"/>
      <c r="O19" s="558"/>
      <c r="P19" s="554"/>
    </row>
    <row r="20" spans="1:16">
      <c r="A20" s="579"/>
      <c r="B20" s="18"/>
      <c r="C20" s="8"/>
      <c r="D20" s="8"/>
      <c r="E20" s="8"/>
      <c r="F20" s="8"/>
      <c r="G20" s="8"/>
      <c r="H20" s="29"/>
      <c r="I20" s="545"/>
      <c r="K20" s="554"/>
      <c r="L20" s="554"/>
      <c r="M20" s="554"/>
      <c r="N20" s="53"/>
      <c r="O20" s="558"/>
      <c r="P20" s="554"/>
    </row>
    <row r="21" spans="1:16">
      <c r="A21" s="579"/>
      <c r="B21" s="18"/>
      <c r="C21" s="7" t="s">
        <v>1001</v>
      </c>
      <c r="D21" s="8"/>
      <c r="E21" s="8"/>
      <c r="F21" s="8"/>
      <c r="G21" s="465"/>
      <c r="H21" s="29"/>
      <c r="I21" s="545"/>
      <c r="O21" s="53"/>
      <c r="P21" s="554"/>
    </row>
    <row r="22" spans="1:16" ht="13.5">
      <c r="A22" s="579"/>
      <c r="B22" s="18"/>
      <c r="C22" s="7"/>
      <c r="D22" s="24"/>
      <c r="E22" s="24"/>
      <c r="F22" s="24"/>
      <c r="G22" s="14"/>
      <c r="H22" s="29"/>
      <c r="I22" s="134"/>
    </row>
    <row r="23" spans="1:16" ht="14.25" customHeight="1">
      <c r="A23" s="579"/>
      <c r="B23" s="18"/>
      <c r="C23" s="8"/>
      <c r="D23" s="24"/>
      <c r="E23" s="24"/>
      <c r="F23" s="24"/>
      <c r="G23" s="503">
        <f>SUM(G16:G22)</f>
        <v>0</v>
      </c>
      <c r="H23" s="29"/>
      <c r="I23" s="134"/>
    </row>
    <row r="24" spans="1:16" ht="13.5" customHeight="1">
      <c r="A24" s="579"/>
      <c r="B24" s="5"/>
      <c r="C24" s="7"/>
      <c r="D24" s="7"/>
      <c r="E24" s="16"/>
      <c r="F24" s="8"/>
      <c r="G24" s="465"/>
      <c r="H24" s="507">
        <f>+G23</f>
        <v>0</v>
      </c>
      <c r="I24" s="134" t="str">
        <f>IF(H24&lt;&gt;0,0,"NIL")</f>
        <v>NIL</v>
      </c>
    </row>
    <row r="25" spans="1:16" ht="2.1" customHeight="1">
      <c r="A25" s="579"/>
      <c r="B25" s="5"/>
      <c r="C25" s="7"/>
      <c r="D25" s="7"/>
      <c r="E25" s="16"/>
      <c r="F25" s="8"/>
      <c r="G25" s="465"/>
      <c r="H25" s="507"/>
      <c r="I25" s="126"/>
    </row>
    <row r="26" spans="1:16" ht="15" customHeight="1">
      <c r="A26" s="578"/>
      <c r="B26" s="559" t="s">
        <v>501</v>
      </c>
      <c r="C26" s="1"/>
      <c r="D26" s="1"/>
      <c r="E26" s="5"/>
      <c r="F26" s="5"/>
      <c r="G26" s="504"/>
      <c r="H26" s="512">
        <f>SUM(H5:H24)</f>
        <v>0</v>
      </c>
      <c r="I26" s="547"/>
    </row>
    <row r="27" spans="1:16" ht="15" customHeight="1">
      <c r="A27" s="579"/>
      <c r="B27" s="23" t="s">
        <v>516</v>
      </c>
      <c r="C27" s="1"/>
      <c r="D27" s="1"/>
      <c r="E27" s="1"/>
      <c r="F27" s="1"/>
      <c r="G27" s="1"/>
      <c r="H27" s="29"/>
      <c r="I27" s="545"/>
    </row>
    <row r="28" spans="1:16" ht="12.75" customHeight="1">
      <c r="A28" s="579"/>
      <c r="B28" s="19"/>
      <c r="C28" s="400" t="s">
        <v>1002</v>
      </c>
      <c r="D28" s="1"/>
      <c r="E28" s="45"/>
      <c r="F28" s="1"/>
      <c r="G28" s="531"/>
      <c r="H28" s="29"/>
      <c r="I28" s="545"/>
    </row>
    <row r="29" spans="1:16" ht="13.5">
      <c r="A29" s="579"/>
      <c r="B29" s="1"/>
      <c r="C29" s="11" t="s">
        <v>568</v>
      </c>
      <c r="D29" s="1"/>
      <c r="E29" s="43"/>
      <c r="F29" s="5"/>
      <c r="G29" s="41"/>
      <c r="H29" s="29"/>
      <c r="I29" s="545"/>
    </row>
    <row r="30" spans="1:16">
      <c r="A30" s="579"/>
      <c r="B30" s="1"/>
      <c r="C30" s="11"/>
      <c r="D30" s="1"/>
      <c r="E30" s="5"/>
      <c r="F30" s="5"/>
      <c r="G30" s="14"/>
      <c r="H30" s="29">
        <f>SUM(G28:G30)</f>
        <v>0</v>
      </c>
      <c r="I30" s="134" t="str">
        <f>IF(H30&lt;&gt;0,0,"NIL")</f>
        <v>NIL</v>
      </c>
    </row>
    <row r="31" spans="1:16" ht="2.1" customHeight="1">
      <c r="A31" s="579"/>
      <c r="B31" s="1"/>
      <c r="C31" s="11"/>
      <c r="D31" s="1"/>
      <c r="E31" s="5"/>
      <c r="F31" s="5"/>
      <c r="G31" s="502"/>
      <c r="H31" s="29"/>
      <c r="I31" s="134"/>
    </row>
    <row r="32" spans="1:16" ht="15" customHeight="1" thickBot="1">
      <c r="A32" s="578"/>
      <c r="B32" s="559" t="s">
        <v>505</v>
      </c>
      <c r="C32" s="1"/>
      <c r="D32" s="32">
        <f>H26-H30</f>
        <v>0</v>
      </c>
      <c r="E32" s="1"/>
      <c r="F32" s="327">
        <f>IF(H32&gt;1031000,0,IF(H32&lt;1000000,0,"Marginal Relief"))</f>
        <v>0</v>
      </c>
      <c r="G32" s="1"/>
      <c r="H32" s="513">
        <f>ROUND((D32/10),0)*10</f>
        <v>0</v>
      </c>
      <c r="I32" s="548" t="str">
        <f>IF(H32&lt;&gt;0,0,"NIL")</f>
        <v>NIL</v>
      </c>
    </row>
    <row r="33" spans="1:9" ht="2.65" customHeight="1" thickTop="1">
      <c r="A33" s="578"/>
      <c r="B33" s="18"/>
      <c r="C33" s="1"/>
      <c r="D33" s="1"/>
      <c r="E33" s="6"/>
      <c r="F33" s="1"/>
      <c r="G33" s="1"/>
      <c r="H33" s="514"/>
      <c r="I33" s="134"/>
    </row>
    <row r="34" spans="1:9" ht="15" customHeight="1">
      <c r="A34" s="579"/>
      <c r="B34" s="559" t="s">
        <v>503</v>
      </c>
      <c r="C34" s="1"/>
      <c r="D34" s="1"/>
      <c r="E34" s="33" t="s">
        <v>521</v>
      </c>
      <c r="F34" s="34" t="s">
        <v>522</v>
      </c>
      <c r="G34" s="33" t="s">
        <v>524</v>
      </c>
      <c r="H34" s="515"/>
      <c r="I34" s="549"/>
    </row>
    <row r="35" spans="1:9" ht="15" customHeight="1">
      <c r="A35" s="579"/>
      <c r="B35" s="20"/>
      <c r="C35" s="11" t="s">
        <v>518</v>
      </c>
      <c r="D35" s="1"/>
      <c r="E35" s="1">
        <f>IF(AND(E36=0,E37=0),H32-E38,0)</f>
        <v>0</v>
      </c>
      <c r="F35" s="10"/>
      <c r="G35" s="11">
        <f>ROUND(IF(E35&gt;1000000,(((E35-1000000)*0.3)+125000),IF(E35&gt;500000,(((E35-500000)*0.2)+25000),IF(E35&gt;250000,((E35-250000)*0.1),0))),0)</f>
        <v>0</v>
      </c>
      <c r="H35" s="515"/>
      <c r="I35" s="134"/>
    </row>
    <row r="36" spans="1:9" ht="15" customHeight="1">
      <c r="A36" s="579"/>
      <c r="B36" s="389">
        <f>IF(Data!E2&lt;20911,"SR. CITIZEN",0)</f>
        <v>0</v>
      </c>
      <c r="C36" s="11">
        <f>IF(B36=0,0,"SENIOR CITIZEN")</f>
        <v>0</v>
      </c>
      <c r="D36" s="1"/>
      <c r="E36" s="1">
        <f>IF(C36="SENIOR CITIZEN",H32-E38,0)</f>
        <v>0</v>
      </c>
      <c r="F36" s="10"/>
      <c r="G36" s="11">
        <f>ROUND(IF(E36&gt;1000000,(((E36-1000000)*0.3)+120000),IF(E36&gt;500000,(((E36-500000)*0.2)+20000),IF(E36&gt;300000,((E36-300000)*0.1),0))),0)</f>
        <v>0</v>
      </c>
      <c r="H36" s="515"/>
      <c r="I36" s="134"/>
    </row>
    <row r="37" spans="1:9" ht="15" customHeight="1">
      <c r="A37" s="579"/>
      <c r="B37" s="390">
        <f>IF(Data!E2&lt;13241,"V. SR. CITIZEN",0)</f>
        <v>0</v>
      </c>
      <c r="C37" s="11">
        <f>IF(B37=0,0,"VERY SENIOR CITIZEN")</f>
        <v>0</v>
      </c>
      <c r="D37" s="1"/>
      <c r="E37" s="1">
        <f>IF(C37="VERY SENIOR CITIZEN",H32-E38,0)</f>
        <v>0</v>
      </c>
      <c r="F37" s="10"/>
      <c r="G37" s="400">
        <f>ROUND(IF(E37&gt;1000000,(((E37-1000000)*0.3)+100000),IF(E37&gt;500000,(((E37-500000)*0.2)+0),IF(E37&gt;300000,((E37-300000)*0),0))),0)</f>
        <v>0</v>
      </c>
      <c r="H37" s="515"/>
      <c r="I37" s="134"/>
    </row>
    <row r="38" spans="1:9" ht="15" customHeight="1">
      <c r="A38" s="579"/>
      <c r="B38" s="31"/>
      <c r="C38" s="11" t="s">
        <v>519</v>
      </c>
      <c r="D38" s="1"/>
      <c r="E38" s="40">
        <f>+G13</f>
        <v>0</v>
      </c>
      <c r="F38" s="35">
        <v>0.15</v>
      </c>
      <c r="G38" s="469">
        <f>ROUND(E38*F38,0)</f>
        <v>0</v>
      </c>
      <c r="H38" s="515"/>
      <c r="I38" s="134"/>
    </row>
    <row r="39" spans="1:9" ht="24.95" hidden="1" customHeight="1">
      <c r="A39" s="579"/>
      <c r="B39" s="23"/>
      <c r="C39" s="1"/>
      <c r="D39" s="1"/>
      <c r="E39" s="1"/>
      <c r="F39" s="25"/>
      <c r="G39" s="46"/>
      <c r="H39" s="515"/>
      <c r="I39" s="134"/>
    </row>
    <row r="40" spans="1:9" ht="15" customHeight="1">
      <c r="A40" s="579"/>
      <c r="B40" s="23"/>
      <c r="C40" s="1"/>
      <c r="D40" s="1"/>
      <c r="E40" s="1"/>
      <c r="F40" s="25"/>
      <c r="G40" s="505">
        <f>SUM(G35:G39)</f>
        <v>0</v>
      </c>
      <c r="H40" s="29"/>
      <c r="I40" s="134"/>
    </row>
    <row r="41" spans="1:9" ht="15" customHeight="1">
      <c r="A41" s="579"/>
      <c r="C41" s="524" t="s">
        <v>1015</v>
      </c>
      <c r="E41" s="5"/>
      <c r="F41" s="1"/>
      <c r="G41" s="527">
        <f>IF(H32&gt;500000,0,IF(G40&gt;2000,2000,G40))</f>
        <v>0</v>
      </c>
      <c r="H41" s="515">
        <f>IF((H38-H39)&gt;0,H38-H39,0)</f>
        <v>0</v>
      </c>
      <c r="I41" s="134" t="str">
        <f>IF(H41&lt;&gt;0,0,"NIL")</f>
        <v>NIL</v>
      </c>
    </row>
    <row r="42" spans="1:9" ht="2.1" customHeight="1">
      <c r="A42" s="579"/>
      <c r="B42" s="21"/>
      <c r="C42" s="1"/>
      <c r="D42" s="10"/>
      <c r="E42" s="5"/>
      <c r="F42" s="1"/>
      <c r="G42" s="5"/>
      <c r="H42" s="515"/>
      <c r="I42" s="134"/>
    </row>
    <row r="43" spans="1:9" ht="12" customHeight="1">
      <c r="A43" s="578"/>
      <c r="B43" s="21" t="s">
        <v>612</v>
      </c>
      <c r="C43" s="1"/>
      <c r="D43" s="5"/>
      <c r="E43" s="5"/>
      <c r="F43" s="5"/>
      <c r="G43" s="5"/>
      <c r="H43" s="516">
        <f>ROUND(H41*0.03,0)</f>
        <v>0</v>
      </c>
      <c r="I43" s="126" t="str">
        <f>IF(H43&lt;&gt;0,0,"NIL")</f>
        <v>NIL</v>
      </c>
    </row>
    <row r="44" spans="1:9" ht="2.1" customHeight="1">
      <c r="A44" s="578"/>
      <c r="B44" s="21"/>
      <c r="C44" s="1"/>
      <c r="D44" s="5"/>
      <c r="E44" s="5"/>
      <c r="F44" s="5"/>
      <c r="G44" s="5"/>
      <c r="H44" s="517"/>
      <c r="I44" s="134"/>
    </row>
    <row r="45" spans="1:9" ht="13.5" customHeight="1">
      <c r="A45" s="578"/>
      <c r="B45" s="559" t="s">
        <v>565</v>
      </c>
      <c r="C45" s="1"/>
      <c r="D45" s="10"/>
      <c r="E45" s="13" t="str">
        <f>IF((H45=0),"NIL",H45)</f>
        <v>NIL</v>
      </c>
      <c r="F45" s="1"/>
      <c r="G45" s="5"/>
      <c r="H45" s="518">
        <f>SUM(H41:H43)</f>
        <v>0</v>
      </c>
      <c r="I45" s="134" t="str">
        <f>IF(H45&lt;&gt;0,0,"NIL")</f>
        <v>NIL</v>
      </c>
    </row>
    <row r="46" spans="1:9" ht="2.1" customHeight="1">
      <c r="A46" s="578"/>
      <c r="B46" s="3"/>
      <c r="C46" s="1"/>
      <c r="D46" s="10"/>
      <c r="E46" s="10"/>
      <c r="F46" s="1"/>
      <c r="G46" s="5"/>
      <c r="H46" s="515"/>
      <c r="I46" s="134"/>
    </row>
    <row r="47" spans="1:9" ht="12" customHeight="1">
      <c r="A47" s="579"/>
      <c r="B47" s="427" t="s">
        <v>1026</v>
      </c>
      <c r="C47" s="5"/>
      <c r="D47" s="5"/>
      <c r="E47" s="5"/>
      <c r="F47" s="5"/>
      <c r="G47" s="5"/>
      <c r="H47" s="528">
        <f>ROUND(IF(H32&gt;10000000,(H45*0.1),0),0)</f>
        <v>0</v>
      </c>
      <c r="I47" s="126" t="str">
        <f>IF(H47&lt;&gt;0,0,"NIL")</f>
        <v>NIL</v>
      </c>
    </row>
    <row r="48" spans="1:9" ht="2.1" customHeight="1">
      <c r="A48" s="579"/>
      <c r="B48" s="2"/>
      <c r="C48" s="5"/>
      <c r="D48" s="5"/>
      <c r="E48" s="5"/>
      <c r="F48" s="5"/>
      <c r="G48" s="5"/>
      <c r="H48" s="519"/>
      <c r="I48" s="550"/>
    </row>
    <row r="49" spans="1:15" ht="14.25" customHeight="1">
      <c r="A49" s="578"/>
      <c r="B49" s="559" t="s">
        <v>504</v>
      </c>
      <c r="C49" s="5"/>
      <c r="D49" s="5"/>
      <c r="E49" s="5"/>
      <c r="F49" s="5"/>
      <c r="G49" s="5"/>
      <c r="H49" s="532">
        <f>H45+H47</f>
        <v>0</v>
      </c>
      <c r="I49" s="134" t="str">
        <f>IF(H49&lt;&gt;0,0,"NIL")</f>
        <v>NIL</v>
      </c>
    </row>
    <row r="50" spans="1:15" ht="2.1" customHeight="1">
      <c r="A50" s="578"/>
      <c r="B50" s="3"/>
      <c r="C50" s="5"/>
      <c r="D50" s="5"/>
      <c r="E50" s="5"/>
      <c r="F50" s="5"/>
      <c r="G50" s="5"/>
      <c r="H50" s="520"/>
      <c r="I50" s="134"/>
    </row>
    <row r="51" spans="1:15" ht="15" customHeight="1">
      <c r="A51" s="579"/>
      <c r="B51" s="21" t="s">
        <v>520</v>
      </c>
      <c r="C51" s="5"/>
      <c r="D51" s="5"/>
      <c r="E51" s="5"/>
      <c r="F51" s="5"/>
      <c r="G51" s="5"/>
      <c r="H51" s="521"/>
      <c r="I51" s="126" t="str">
        <f>IF(H51&lt;&gt;0,0,"NIL")</f>
        <v>NIL</v>
      </c>
    </row>
    <row r="52" spans="1:15" ht="15" customHeight="1">
      <c r="A52" s="579"/>
      <c r="B52" s="559" t="s">
        <v>506</v>
      </c>
      <c r="C52" s="5"/>
      <c r="D52" s="5"/>
      <c r="E52" s="5"/>
      <c r="F52" s="5"/>
      <c r="G52" s="5"/>
      <c r="H52" s="522">
        <f>H49+H51</f>
        <v>0</v>
      </c>
      <c r="I52" s="134" t="str">
        <f>IF(H52&lt;&gt;0,0,"NIL")</f>
        <v>NIL</v>
      </c>
    </row>
    <row r="53" spans="1:15" ht="12.75" customHeight="1">
      <c r="A53" s="579"/>
      <c r="B53" s="22" t="s">
        <v>508</v>
      </c>
      <c r="C53" s="42" t="s">
        <v>556</v>
      </c>
      <c r="D53" s="15"/>
      <c r="E53" s="15"/>
      <c r="F53" s="15"/>
      <c r="G53" s="9"/>
      <c r="H53" s="29"/>
      <c r="I53" s="545"/>
    </row>
    <row r="54" spans="1:15" ht="12.75" customHeight="1">
      <c r="A54" s="579"/>
      <c r="B54" s="1"/>
      <c r="C54" s="28" t="s">
        <v>557</v>
      </c>
      <c r="D54" s="2"/>
      <c r="E54" s="2"/>
      <c r="F54" s="2"/>
      <c r="G54" s="9"/>
      <c r="H54" s="29"/>
      <c r="I54" s="545"/>
    </row>
    <row r="55" spans="1:15" ht="12.75" customHeight="1">
      <c r="A55" s="579"/>
      <c r="B55" s="1"/>
      <c r="C55" s="28" t="s">
        <v>573</v>
      </c>
      <c r="D55" s="2"/>
      <c r="E55" s="2"/>
      <c r="F55" s="2"/>
      <c r="G55" s="9"/>
      <c r="H55" s="29"/>
      <c r="I55" s="545"/>
    </row>
    <row r="56" spans="1:15" ht="12.75" customHeight="1">
      <c r="A56" s="579"/>
      <c r="B56" s="1"/>
      <c r="C56" s="42" t="s">
        <v>561</v>
      </c>
      <c r="D56" s="2"/>
      <c r="E56" s="2"/>
      <c r="F56" s="2"/>
      <c r="G56" s="9"/>
      <c r="H56" s="29">
        <f>SUM(G53:G56)</f>
        <v>0</v>
      </c>
      <c r="I56" s="134" t="str">
        <f>IF(H56&lt;&gt;0,0,"NIL")</f>
        <v>NIL</v>
      </c>
    </row>
    <row r="57" spans="1:15" ht="2.1" customHeight="1">
      <c r="A57" s="579"/>
      <c r="B57" s="1"/>
      <c r="C57" s="7"/>
      <c r="D57" s="2"/>
      <c r="E57" s="2"/>
      <c r="F57" s="2"/>
      <c r="G57" s="9"/>
      <c r="H57" s="29"/>
      <c r="I57" s="134"/>
    </row>
    <row r="58" spans="1:15" ht="18" customHeight="1" thickBot="1">
      <c r="A58" s="580"/>
      <c r="B58" s="562" t="str">
        <f>IF(H58="NIL","TAX AND INTEREST PAYABLE / REFUND DUE",IF(H58&lt;0,"REFUND DUE","TAX  AND INTEREST PAYABLE"))</f>
        <v>TAX AND INTEREST PAYABLE / REFUND DUE</v>
      </c>
      <c r="C58" s="563"/>
      <c r="D58" s="563"/>
      <c r="E58" s="564"/>
      <c r="F58" s="564"/>
      <c r="G58" s="564"/>
      <c r="H58" s="565" t="str">
        <f>IF((H52-H56)=0,"NIL",(H52-H56))</f>
        <v>NIL</v>
      </c>
      <c r="I58" s="548">
        <f>IF(H58&lt;&gt;0,0,"NIL")</f>
        <v>0</v>
      </c>
    </row>
    <row r="59" spans="1:15" ht="13.5" thickTop="1">
      <c r="A59" s="47"/>
      <c r="I59"/>
    </row>
    <row r="60" spans="1:15" ht="13.5">
      <c r="A60" s="47"/>
      <c r="B60" s="551" t="s">
        <v>1020</v>
      </c>
      <c r="C60" s="553"/>
      <c r="D60" s="553"/>
      <c r="E60" s="553"/>
      <c r="F60" s="573" t="s">
        <v>559</v>
      </c>
      <c r="G60" s="572" t="s">
        <v>560</v>
      </c>
      <c r="H60" s="571"/>
      <c r="I60" s="571"/>
      <c r="J60" s="571"/>
      <c r="K60" s="571"/>
      <c r="L60" s="571"/>
      <c r="M60" s="571"/>
      <c r="N60" s="571"/>
      <c r="O60" s="571"/>
    </row>
    <row r="61" spans="1:15" ht="13.5">
      <c r="B61" s="552" t="s">
        <v>545</v>
      </c>
      <c r="C61" s="8"/>
      <c r="D61" s="8"/>
      <c r="E61" s="555"/>
      <c r="F61" s="561"/>
      <c r="G61" s="53"/>
    </row>
    <row r="62" spans="1:15">
      <c r="B62" s="552" t="s">
        <v>1021</v>
      </c>
      <c r="C62" s="556"/>
      <c r="D62" s="554"/>
      <c r="E62" s="554"/>
      <c r="F62" s="561"/>
      <c r="G62" s="53"/>
    </row>
    <row r="63" spans="1:15" ht="13.5" customHeight="1">
      <c r="B63" s="552" t="s">
        <v>546</v>
      </c>
      <c r="C63" s="8"/>
      <c r="D63" s="554"/>
      <c r="E63" s="554"/>
      <c r="F63" s="560"/>
      <c r="G63" s="557"/>
    </row>
    <row r="64" spans="1:15">
      <c r="B64" s="552" t="s">
        <v>1022</v>
      </c>
      <c r="C64" s="8"/>
      <c r="D64" s="554"/>
      <c r="E64" s="554"/>
      <c r="F64" s="560"/>
      <c r="G64" s="557"/>
    </row>
    <row r="65" spans="2:7">
      <c r="B65" s="552" t="s">
        <v>547</v>
      </c>
      <c r="C65" s="8"/>
      <c r="D65" s="554"/>
      <c r="E65" s="554"/>
      <c r="F65" s="574">
        <f>MIN(F61:F64)</f>
        <v>0</v>
      </c>
      <c r="G65" s="574">
        <f>MIN(G61:G64)</f>
        <v>0</v>
      </c>
    </row>
    <row r="66" spans="2:7">
      <c r="B66" s="552" t="s">
        <v>558</v>
      </c>
      <c r="C66" s="8"/>
      <c r="D66" s="554"/>
      <c r="E66" s="554"/>
      <c r="F66" s="575">
        <f>F63-F65</f>
        <v>0</v>
      </c>
      <c r="G66" s="575">
        <f>G63-G65</f>
        <v>0</v>
      </c>
    </row>
  </sheetData>
  <mergeCells count="3">
    <mergeCell ref="C4:D4"/>
    <mergeCell ref="B1:I1"/>
    <mergeCell ref="B2:I2"/>
  </mergeCells>
  <phoneticPr fontId="41" type="noConversion"/>
  <conditionalFormatting sqref="F38">
    <cfRule type="expression" dxfId="0" priority="1" stopIfTrue="1">
      <formula>"""$E$55=0"""</formula>
    </cfRule>
  </conditionalFormatting>
  <dataValidations count="2">
    <dataValidation type="list" allowBlank="1" showInputMessage="1" showErrorMessage="1" sqref="C4">
      <formula1>"SALARY RECEIVED, PENSION RECEIVED"</formula1>
    </dataValidation>
    <dataValidation type="list" showInputMessage="1" showErrorMessage="1" sqref="D6">
      <formula1>"(SELF-OCCUPIED),(LET OUT)"</formula1>
    </dataValidation>
  </dataValidations>
  <printOptions horizontalCentered="1" verticalCentered="1"/>
  <pageMargins left="0.25" right="0" top="0" bottom="0.25" header="0" footer="0.5"/>
  <pageSetup paperSize="9" orientation="portrait" r:id="rId1"/>
  <headerFooter alignWithMargins="0"/>
  <legacy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3"/>
  <sheetViews>
    <sheetView zoomScaleNormal="100" workbookViewId="0"/>
  </sheetViews>
  <sheetFormatPr defaultColWidth="20.7109375" defaultRowHeight="18" customHeight="1"/>
  <cols>
    <col min="1" max="1" width="12" customWidth="1"/>
    <col min="2" max="2" width="20.5703125" customWidth="1"/>
    <col min="3" max="3" width="22" customWidth="1"/>
    <col min="5" max="5" width="26.85546875" customWidth="1"/>
    <col min="7" max="7" width="14" customWidth="1"/>
  </cols>
  <sheetData>
    <row r="1" spans="1:13" ht="15" customHeight="1">
      <c r="A1" s="407" t="s">
        <v>744</v>
      </c>
      <c r="B1" s="26" t="s">
        <v>659</v>
      </c>
      <c r="F1" s="76"/>
      <c r="G1" s="77"/>
      <c r="I1" s="394"/>
      <c r="J1" s="14"/>
      <c r="K1" s="395"/>
      <c r="L1" s="39"/>
      <c r="M1" s="47"/>
    </row>
    <row r="2" spans="1:13" ht="15" customHeight="1">
      <c r="A2" s="393"/>
      <c r="B2" s="72" t="s">
        <v>660</v>
      </c>
      <c r="F2" s="392"/>
      <c r="G2" s="266"/>
      <c r="I2" s="394"/>
      <c r="J2" s="14"/>
      <c r="K2" s="395"/>
      <c r="L2" s="39"/>
      <c r="M2" s="47"/>
    </row>
    <row r="3" spans="1:13" s="51" customFormat="1" ht="15" customHeight="1">
      <c r="A3" s="393" t="s">
        <v>745</v>
      </c>
      <c r="B3" s="406" t="s">
        <v>661</v>
      </c>
      <c r="F3" s="392"/>
      <c r="G3" s="266"/>
      <c r="K3" s="52"/>
      <c r="L3" s="52"/>
      <c r="M3" s="52"/>
    </row>
    <row r="4" spans="1:13" s="51" customFormat="1" ht="15" customHeight="1">
      <c r="A4" s="407" t="s">
        <v>746</v>
      </c>
      <c r="B4" s="406" t="s">
        <v>663</v>
      </c>
      <c r="F4" s="392"/>
      <c r="G4" s="266"/>
      <c r="K4" s="52"/>
      <c r="L4" s="52"/>
      <c r="M4" s="52"/>
    </row>
    <row r="5" spans="1:13" s="51" customFormat="1" ht="15" customHeight="1">
      <c r="A5" s="393"/>
      <c r="B5" s="72" t="s">
        <v>662</v>
      </c>
      <c r="F5" s="392"/>
      <c r="G5" s="266"/>
      <c r="K5" s="52"/>
      <c r="L5" s="52"/>
      <c r="M5" s="52"/>
    </row>
    <row r="6" spans="1:13" s="51" customFormat="1" ht="15" customHeight="1">
      <c r="A6" s="393"/>
      <c r="B6" s="72" t="s">
        <v>664</v>
      </c>
      <c r="F6" s="392"/>
      <c r="G6" s="266"/>
      <c r="K6" s="52"/>
      <c r="L6" s="52"/>
      <c r="M6" s="52"/>
    </row>
    <row r="7" spans="1:13" s="51" customFormat="1" ht="15" customHeight="1">
      <c r="A7" s="393" t="s">
        <v>747</v>
      </c>
      <c r="B7" s="406" t="s">
        <v>665</v>
      </c>
      <c r="F7" s="392"/>
      <c r="G7" s="266"/>
      <c r="K7" s="52"/>
      <c r="L7" s="52"/>
      <c r="M7" s="52"/>
    </row>
    <row r="8" spans="1:13" s="51" customFormat="1" ht="15" customHeight="1" thickBot="1">
      <c r="A8" s="396"/>
      <c r="B8" s="72" t="s">
        <v>748</v>
      </c>
      <c r="C8" s="396"/>
      <c r="D8" s="50"/>
      <c r="E8" s="50"/>
      <c r="F8" s="326"/>
      <c r="G8" s="266"/>
      <c r="K8" s="52"/>
      <c r="L8" s="52"/>
      <c r="M8" s="52"/>
    </row>
    <row r="9" spans="1:13" ht="18" customHeight="1">
      <c r="A9" s="379" t="s">
        <v>78</v>
      </c>
      <c r="B9" s="380" t="s">
        <v>93</v>
      </c>
      <c r="C9" s="381" t="s">
        <v>99</v>
      </c>
      <c r="D9" s="403" t="s">
        <v>729</v>
      </c>
    </row>
    <row r="10" spans="1:13" ht="18" customHeight="1">
      <c r="A10" s="382" t="s">
        <v>79</v>
      </c>
      <c r="B10" s="378" t="s">
        <v>93</v>
      </c>
      <c r="C10" s="383" t="s">
        <v>728</v>
      </c>
      <c r="D10" s="72" t="s">
        <v>730</v>
      </c>
    </row>
    <row r="11" spans="1:13" ht="18" customHeight="1">
      <c r="A11" s="382" t="s">
        <v>80</v>
      </c>
      <c r="B11" s="378" t="s">
        <v>94</v>
      </c>
      <c r="C11" s="383" t="s">
        <v>100</v>
      </c>
      <c r="D11" s="72" t="s">
        <v>731</v>
      </c>
    </row>
    <row r="12" spans="1:13" ht="18" customHeight="1">
      <c r="A12" s="382" t="s">
        <v>81</v>
      </c>
      <c r="B12" s="378" t="s">
        <v>95</v>
      </c>
      <c r="C12" s="383" t="s">
        <v>101</v>
      </c>
      <c r="D12" s="72" t="s">
        <v>732</v>
      </c>
    </row>
    <row r="13" spans="1:13" ht="18" customHeight="1">
      <c r="A13" s="382" t="s">
        <v>82</v>
      </c>
      <c r="B13" s="378" t="s">
        <v>95</v>
      </c>
      <c r="C13" s="383" t="s">
        <v>728</v>
      </c>
      <c r="D13" s="72" t="s">
        <v>733</v>
      </c>
    </row>
    <row r="14" spans="1:13" ht="18" customHeight="1">
      <c r="A14" s="382" t="s">
        <v>83</v>
      </c>
      <c r="B14" s="378" t="s">
        <v>96</v>
      </c>
      <c r="C14" s="383" t="s">
        <v>102</v>
      </c>
      <c r="D14" s="72" t="s">
        <v>734</v>
      </c>
    </row>
    <row r="15" spans="1:13" ht="18" customHeight="1">
      <c r="A15" s="382" t="s">
        <v>84</v>
      </c>
      <c r="B15" s="378" t="s">
        <v>96</v>
      </c>
      <c r="C15" s="383" t="s">
        <v>103</v>
      </c>
      <c r="D15" s="72" t="s">
        <v>735</v>
      </c>
    </row>
    <row r="16" spans="1:13" ht="18" customHeight="1">
      <c r="A16" s="382" t="s">
        <v>85</v>
      </c>
      <c r="B16" s="378" t="s">
        <v>96</v>
      </c>
      <c r="C16" s="383" t="s">
        <v>728</v>
      </c>
      <c r="D16" s="72" t="s">
        <v>736</v>
      </c>
    </row>
    <row r="17" spans="1:5" ht="18" customHeight="1">
      <c r="A17" s="382" t="s">
        <v>86</v>
      </c>
      <c r="B17" s="378" t="s">
        <v>97</v>
      </c>
      <c r="C17" s="383" t="s">
        <v>104</v>
      </c>
      <c r="D17" s="72" t="s">
        <v>737</v>
      </c>
    </row>
    <row r="18" spans="1:5" ht="18" customHeight="1">
      <c r="A18" s="382" t="s">
        <v>87</v>
      </c>
      <c r="B18" s="378" t="s">
        <v>97</v>
      </c>
      <c r="C18" s="383" t="s">
        <v>342</v>
      </c>
      <c r="D18" s="404" t="s">
        <v>738</v>
      </c>
    </row>
    <row r="19" spans="1:5" ht="18" customHeight="1">
      <c r="A19" s="382" t="s">
        <v>88</v>
      </c>
      <c r="B19" s="378" t="s">
        <v>97</v>
      </c>
      <c r="C19" s="383" t="s">
        <v>343</v>
      </c>
      <c r="D19" s="391" t="s">
        <v>739</v>
      </c>
    </row>
    <row r="20" spans="1:5" ht="18" customHeight="1">
      <c r="A20" s="382" t="s">
        <v>89</v>
      </c>
      <c r="B20" s="378" t="s">
        <v>97</v>
      </c>
      <c r="C20" s="383" t="s">
        <v>105</v>
      </c>
      <c r="D20" s="391" t="s">
        <v>740</v>
      </c>
    </row>
    <row r="21" spans="1:5" ht="18" customHeight="1">
      <c r="A21" s="382" t="s">
        <v>90</v>
      </c>
      <c r="B21" s="378" t="s">
        <v>97</v>
      </c>
      <c r="C21" s="383" t="s">
        <v>106</v>
      </c>
      <c r="D21" s="391" t="s">
        <v>741</v>
      </c>
    </row>
    <row r="22" spans="1:5" ht="18" customHeight="1">
      <c r="A22" s="382" t="s">
        <v>91</v>
      </c>
      <c r="B22" s="378" t="s">
        <v>97</v>
      </c>
      <c r="C22" s="383" t="s">
        <v>728</v>
      </c>
      <c r="D22" s="391" t="s">
        <v>742</v>
      </c>
    </row>
    <row r="23" spans="1:5" s="73" customFormat="1" ht="18" customHeight="1" thickBot="1">
      <c r="A23" s="384" t="s">
        <v>92</v>
      </c>
      <c r="B23" s="385" t="s">
        <v>98</v>
      </c>
      <c r="C23" s="386" t="s">
        <v>728</v>
      </c>
      <c r="D23" s="391" t="s">
        <v>743</v>
      </c>
      <c r="E23"/>
    </row>
    <row r="24" spans="1:5" ht="18" customHeight="1">
      <c r="A24" s="74"/>
      <c r="B24" s="53"/>
      <c r="D24" s="391" t="s">
        <v>814</v>
      </c>
    </row>
    <row r="25" spans="1:5" ht="18" customHeight="1">
      <c r="B25" s="53"/>
      <c r="D25" s="405" t="s">
        <v>815</v>
      </c>
    </row>
    <row r="26" spans="1:5" ht="18" customHeight="1">
      <c r="B26" s="53"/>
    </row>
    <row r="27" spans="1:5" ht="18" customHeight="1">
      <c r="B27" s="53"/>
    </row>
    <row r="28" spans="1:5" ht="18" customHeight="1">
      <c r="B28" s="53"/>
    </row>
    <row r="29" spans="1:5" ht="18" customHeight="1">
      <c r="A29" s="75"/>
      <c r="B29" s="53"/>
    </row>
    <row r="30" spans="1:5" ht="18" customHeight="1">
      <c r="A30" s="75"/>
      <c r="B30" s="53"/>
    </row>
    <row r="31" spans="1:5" ht="18" customHeight="1">
      <c r="A31" s="75"/>
      <c r="B31" s="53"/>
    </row>
    <row r="32" spans="1:5" ht="18" customHeight="1">
      <c r="B32" s="53"/>
    </row>
    <row r="33" spans="1:2" ht="18" customHeight="1">
      <c r="A33" s="75"/>
      <c r="B33" s="53"/>
    </row>
    <row r="34" spans="1:2" ht="18" customHeight="1">
      <c r="A34" s="75"/>
      <c r="B34" s="53"/>
    </row>
    <row r="35" spans="1:2" ht="18" customHeight="1">
      <c r="A35" s="75"/>
      <c r="B35" s="53"/>
    </row>
    <row r="36" spans="1:2" ht="18" customHeight="1">
      <c r="A36" s="75"/>
      <c r="B36" s="53"/>
    </row>
    <row r="37" spans="1:2" ht="18" customHeight="1">
      <c r="B37" s="53"/>
    </row>
    <row r="38" spans="1:2" ht="18" customHeight="1">
      <c r="B38" s="53"/>
    </row>
    <row r="39" spans="1:2" ht="18" customHeight="1">
      <c r="A39" s="53"/>
      <c r="B39" s="53"/>
    </row>
    <row r="40" spans="1:2" ht="18" customHeight="1">
      <c r="A40" s="53"/>
      <c r="B40" s="53"/>
    </row>
    <row r="41" spans="1:2" ht="18" customHeight="1">
      <c r="A41" s="53"/>
      <c r="B41" s="53"/>
    </row>
    <row r="42" spans="1:2" ht="18" customHeight="1">
      <c r="A42" s="53"/>
      <c r="B42" s="53"/>
    </row>
    <row r="43" spans="1:2" ht="18" customHeight="1">
      <c r="B43" s="53"/>
    </row>
    <row r="44" spans="1:2" ht="18" customHeight="1">
      <c r="B44" s="53"/>
    </row>
    <row r="45" spans="1:2" ht="18" customHeight="1">
      <c r="B45" s="53"/>
    </row>
    <row r="46" spans="1:2" ht="18" customHeight="1">
      <c r="B46" s="53"/>
    </row>
    <row r="47" spans="1:2" ht="18" customHeight="1">
      <c r="B47" s="53"/>
    </row>
    <row r="49" spans="2:2" ht="18" customHeight="1">
      <c r="B49" s="53"/>
    </row>
    <row r="50" spans="2:2" ht="18" customHeight="1">
      <c r="B50" s="53"/>
    </row>
    <row r="51" spans="2:2" ht="18" customHeight="1">
      <c r="B51" s="53"/>
    </row>
    <row r="52" spans="2:2" ht="18" customHeight="1">
      <c r="B52" s="53"/>
    </row>
    <row r="53" spans="2:2" ht="18" customHeight="1">
      <c r="B53" s="53"/>
    </row>
  </sheetData>
  <phoneticPr fontId="41" type="noConversion"/>
  <printOptions horizontalCentered="1"/>
  <pageMargins left="0" right="0" top="0.5" bottom="0.5" header="0.5" footer="0.5"/>
  <pageSetup paperSize="9"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516"/>
  <sheetViews>
    <sheetView showZeros="0" zoomScaleNormal="100" workbookViewId="0">
      <selection activeCell="F1" sqref="F1:F6"/>
    </sheetView>
  </sheetViews>
  <sheetFormatPr defaultColWidth="2.5703125" defaultRowHeight="12"/>
  <cols>
    <col min="1" max="1" width="0.7109375" style="78" customWidth="1"/>
    <col min="2" max="2" width="3" style="78" customWidth="1"/>
    <col min="3" max="3" width="2.85546875" style="78" customWidth="1"/>
    <col min="4" max="4" width="2.7109375" style="78" customWidth="1"/>
    <col min="5" max="5" width="3.85546875" style="78" customWidth="1"/>
    <col min="6" max="6" width="3.140625" style="78" customWidth="1"/>
    <col min="7" max="7" width="2.5703125" style="78" customWidth="1"/>
    <col min="8" max="8" width="2.28515625" style="78" customWidth="1"/>
    <col min="9" max="10" width="2.5703125" style="78" customWidth="1"/>
    <col min="11" max="11" width="2.42578125" style="78" customWidth="1"/>
    <col min="12" max="16" width="2.5703125" style="78" customWidth="1"/>
    <col min="17" max="17" width="2.7109375" style="78" customWidth="1"/>
    <col min="18" max="18" width="4" style="78" customWidth="1"/>
    <col min="19" max="19" width="2.5703125" style="78" customWidth="1"/>
    <col min="20" max="20" width="3.28515625" style="78" customWidth="1"/>
    <col min="21" max="21" width="2.5703125" style="78" customWidth="1"/>
    <col min="22" max="22" width="3.5703125" style="78" customWidth="1"/>
    <col min="23" max="28" width="2.28515625" style="78" customWidth="1"/>
    <col min="29" max="29" width="1" style="78" customWidth="1"/>
    <col min="30" max="30" width="3.85546875" style="78" customWidth="1"/>
    <col min="31" max="31" width="3.5703125" style="78" customWidth="1"/>
    <col min="32" max="32" width="3.140625" style="79" customWidth="1"/>
    <col min="33" max="33" width="2.140625" style="78" customWidth="1"/>
    <col min="34" max="34" width="1.85546875" style="78" customWidth="1"/>
    <col min="35" max="36" width="2" style="78" customWidth="1"/>
    <col min="37" max="37" width="2.140625" style="78" customWidth="1"/>
    <col min="38" max="38" width="3.28515625" style="78" customWidth="1"/>
    <col min="39" max="39" width="0.28515625" style="78" customWidth="1"/>
    <col min="40" max="40" width="0.140625" style="78" customWidth="1"/>
    <col min="41" max="41" width="1" style="78" customWidth="1"/>
    <col min="42" max="47" width="2.5703125" style="78" customWidth="1"/>
    <col min="48" max="48" width="2.28515625" style="78" customWidth="1"/>
    <col min="49" max="16384" width="2.5703125" style="78"/>
  </cols>
  <sheetData>
    <row r="1" spans="2:38" ht="12.75">
      <c r="B1" s="308" t="s">
        <v>883</v>
      </c>
      <c r="C1" s="309"/>
      <c r="D1" s="310"/>
      <c r="E1" s="309"/>
      <c r="F1" s="311" t="s">
        <v>884</v>
      </c>
      <c r="G1" s="309"/>
      <c r="H1" s="309"/>
      <c r="I1" s="309"/>
      <c r="J1" s="309"/>
      <c r="K1" s="309"/>
      <c r="L1" s="309"/>
      <c r="M1" s="309"/>
      <c r="N1" s="309"/>
      <c r="O1" s="309"/>
      <c r="P1" s="309"/>
      <c r="Q1" s="309"/>
      <c r="R1" s="309"/>
      <c r="S1" s="309"/>
      <c r="T1" s="309"/>
      <c r="U1" s="309"/>
      <c r="V1" s="309"/>
      <c r="W1" s="309"/>
      <c r="X1" s="309"/>
      <c r="Y1" s="309"/>
      <c r="Z1" s="309"/>
      <c r="AA1" s="296"/>
      <c r="AB1" s="296"/>
      <c r="AC1" s="296"/>
      <c r="AD1" s="296"/>
      <c r="AE1" s="296"/>
      <c r="AF1" s="307"/>
      <c r="AG1" s="296"/>
      <c r="AH1" s="296"/>
      <c r="AI1" s="296"/>
      <c r="AJ1" s="296"/>
      <c r="AK1" s="296"/>
      <c r="AL1" s="298"/>
    </row>
    <row r="2" spans="2:38" ht="12.75">
      <c r="B2" s="312" t="s">
        <v>885</v>
      </c>
      <c r="C2" s="289"/>
      <c r="D2" s="313"/>
      <c r="E2" s="289"/>
      <c r="F2" s="314" t="s">
        <v>886</v>
      </c>
      <c r="G2" s="289"/>
      <c r="H2" s="289"/>
      <c r="I2" s="289"/>
      <c r="J2" s="289"/>
      <c r="K2" s="289"/>
      <c r="L2" s="289"/>
      <c r="M2" s="289"/>
      <c r="N2" s="289"/>
      <c r="O2" s="289"/>
      <c r="P2" s="289"/>
      <c r="Q2" s="289"/>
      <c r="R2" s="289"/>
      <c r="S2" s="289"/>
      <c r="T2" s="289"/>
      <c r="U2" s="289"/>
      <c r="V2" s="289"/>
      <c r="W2" s="289"/>
      <c r="X2" s="289"/>
      <c r="Y2" s="289"/>
      <c r="Z2" s="289"/>
      <c r="AL2" s="300"/>
    </row>
    <row r="3" spans="2:38" ht="12.75">
      <c r="B3" s="312" t="s">
        <v>887</v>
      </c>
      <c r="C3" s="289"/>
      <c r="D3" s="313"/>
      <c r="E3" s="289"/>
      <c r="F3" s="314" t="s">
        <v>888</v>
      </c>
      <c r="G3" s="289"/>
      <c r="H3" s="289"/>
      <c r="I3" s="289"/>
      <c r="J3" s="289"/>
      <c r="K3" s="289"/>
      <c r="L3" s="289"/>
      <c r="M3" s="289"/>
      <c r="N3" s="289"/>
      <c r="O3" s="289"/>
      <c r="P3" s="289"/>
      <c r="Q3" s="289"/>
      <c r="R3" s="289"/>
      <c r="S3" s="289"/>
      <c r="T3" s="289"/>
      <c r="U3" s="289"/>
      <c r="V3" s="289"/>
      <c r="W3" s="289"/>
      <c r="X3" s="289"/>
      <c r="Y3" s="289"/>
      <c r="Z3" s="289"/>
      <c r="AL3" s="300"/>
    </row>
    <row r="4" spans="2:38" ht="12.75">
      <c r="B4" s="315"/>
      <c r="C4" s="289"/>
      <c r="D4" s="313"/>
      <c r="E4" s="289"/>
      <c r="F4" s="316" t="s">
        <v>889</v>
      </c>
      <c r="G4" s="289"/>
      <c r="H4" s="289"/>
      <c r="I4" s="289"/>
      <c r="J4" s="289"/>
      <c r="K4" s="289"/>
      <c r="L4" s="289"/>
      <c r="M4" s="289"/>
      <c r="N4" s="289"/>
      <c r="O4" s="289"/>
      <c r="P4" s="289"/>
      <c r="Q4" s="289"/>
      <c r="R4" s="289"/>
      <c r="S4" s="289"/>
      <c r="T4" s="289"/>
      <c r="U4" s="289"/>
      <c r="V4" s="289"/>
      <c r="W4" s="289"/>
      <c r="X4" s="289"/>
      <c r="Y4" s="289"/>
      <c r="Z4" s="289"/>
      <c r="AL4" s="300"/>
    </row>
    <row r="5" spans="2:38" ht="12.75">
      <c r="B5" s="312" t="s">
        <v>885</v>
      </c>
      <c r="C5" s="289"/>
      <c r="D5" s="313"/>
      <c r="E5" s="289"/>
      <c r="F5" s="314" t="s">
        <v>620</v>
      </c>
      <c r="G5" s="289"/>
      <c r="H5" s="289"/>
      <c r="I5" s="289"/>
      <c r="J5" s="289"/>
      <c r="K5" s="289"/>
      <c r="L5" s="289"/>
      <c r="M5" s="289"/>
      <c r="N5" s="289"/>
      <c r="O5" s="289"/>
      <c r="P5" s="289"/>
      <c r="Q5" s="289"/>
      <c r="R5" s="289"/>
      <c r="S5" s="289"/>
      <c r="T5" s="289"/>
      <c r="U5" s="289"/>
      <c r="V5" s="289"/>
      <c r="W5" s="289"/>
      <c r="X5" s="289"/>
      <c r="Y5" s="289"/>
      <c r="Z5" s="289"/>
      <c r="AL5" s="300"/>
    </row>
    <row r="6" spans="2:38" ht="13.5" thickBot="1">
      <c r="B6" s="312" t="s">
        <v>887</v>
      </c>
      <c r="C6" s="289"/>
      <c r="D6" s="313"/>
      <c r="E6" s="289"/>
      <c r="F6" s="314" t="s">
        <v>890</v>
      </c>
      <c r="G6" s="289"/>
      <c r="H6" s="289"/>
      <c r="I6" s="289"/>
      <c r="J6" s="289"/>
      <c r="K6" s="289"/>
      <c r="L6" s="289"/>
      <c r="M6" s="289"/>
      <c r="N6" s="289"/>
      <c r="O6" s="289"/>
      <c r="P6" s="289"/>
      <c r="Q6" s="289"/>
      <c r="R6" s="289"/>
      <c r="S6" s="291"/>
      <c r="T6" s="291"/>
      <c r="U6" s="291"/>
      <c r="V6" s="291"/>
      <c r="W6" s="291"/>
      <c r="X6" s="291"/>
      <c r="Y6" s="291"/>
      <c r="Z6" s="291"/>
      <c r="AA6" s="292"/>
      <c r="AB6" s="292"/>
      <c r="AC6" s="292"/>
      <c r="AD6" s="292"/>
      <c r="AE6" s="292"/>
      <c r="AF6" s="293"/>
      <c r="AG6" s="292"/>
      <c r="AH6" s="292"/>
      <c r="AI6" s="292"/>
      <c r="AJ6" s="292"/>
      <c r="AK6" s="292"/>
      <c r="AL6" s="305"/>
    </row>
    <row r="7" spans="2:38" ht="15" customHeight="1">
      <c r="B7" s="295"/>
      <c r="C7" s="296"/>
      <c r="D7" s="296"/>
      <c r="E7" s="296"/>
      <c r="F7" s="297"/>
      <c r="G7" s="296"/>
      <c r="H7" s="296"/>
      <c r="I7" s="296"/>
      <c r="J7" s="296"/>
      <c r="K7" s="296"/>
      <c r="L7" s="296"/>
      <c r="M7" s="324" t="s">
        <v>177</v>
      </c>
      <c r="N7" s="296"/>
      <c r="O7" s="1327" t="s">
        <v>721</v>
      </c>
      <c r="P7" s="1327"/>
      <c r="Q7" s="1327"/>
      <c r="R7" s="325" t="s">
        <v>722</v>
      </c>
      <c r="S7" s="323"/>
      <c r="T7" s="297"/>
      <c r="U7" s="296"/>
      <c r="V7" s="296"/>
      <c r="W7" s="296"/>
      <c r="X7" s="296"/>
      <c r="Y7" s="296"/>
      <c r="Z7" s="296"/>
      <c r="AA7" s="296"/>
      <c r="AB7" s="324" t="s">
        <v>177</v>
      </c>
      <c r="AC7" s="296"/>
      <c r="AD7" s="296"/>
      <c r="AE7" s="1327" t="s">
        <v>721</v>
      </c>
      <c r="AF7" s="1327"/>
      <c r="AG7" s="1327"/>
      <c r="AH7" s="325" t="s">
        <v>722</v>
      </c>
      <c r="AI7" s="296"/>
      <c r="AJ7" s="296"/>
      <c r="AK7" s="296"/>
      <c r="AL7" s="298"/>
    </row>
    <row r="8" spans="2:38" ht="15" customHeight="1">
      <c r="B8" s="322" t="s">
        <v>622</v>
      </c>
      <c r="F8" s="283" t="s">
        <v>74</v>
      </c>
      <c r="M8" s="290" t="s">
        <v>627</v>
      </c>
      <c r="O8" s="1322"/>
      <c r="P8" s="1322"/>
      <c r="Q8" s="1322"/>
      <c r="R8" s="320" t="s">
        <v>682</v>
      </c>
      <c r="S8" s="287" t="s">
        <v>554</v>
      </c>
      <c r="T8" s="283" t="s">
        <v>553</v>
      </c>
      <c r="AB8" s="290" t="s">
        <v>636</v>
      </c>
      <c r="AE8" s="1322"/>
      <c r="AF8" s="1322"/>
      <c r="AG8" s="1322"/>
      <c r="AH8" s="78" t="s">
        <v>697</v>
      </c>
      <c r="AL8" s="300"/>
    </row>
    <row r="9" spans="2:38" ht="13.5">
      <c r="B9" s="299" t="s">
        <v>935</v>
      </c>
      <c r="F9" s="136" t="s">
        <v>936</v>
      </c>
      <c r="M9" s="290" t="s">
        <v>628</v>
      </c>
      <c r="O9" s="1322"/>
      <c r="P9" s="1322"/>
      <c r="Q9" s="1322"/>
      <c r="R9" s="320" t="s">
        <v>683</v>
      </c>
      <c r="S9" s="288"/>
      <c r="T9" s="136" t="s">
        <v>637</v>
      </c>
      <c r="AB9" s="290" t="s">
        <v>640</v>
      </c>
      <c r="AD9" s="136"/>
      <c r="AE9" s="1322"/>
      <c r="AF9" s="1322"/>
      <c r="AG9" s="1322"/>
      <c r="AH9" s="78" t="s">
        <v>698</v>
      </c>
      <c r="AL9" s="300"/>
    </row>
    <row r="10" spans="2:38" ht="13.5">
      <c r="B10" s="301"/>
      <c r="F10" s="136" t="s">
        <v>825</v>
      </c>
      <c r="M10" s="290" t="s">
        <v>629</v>
      </c>
      <c r="O10" s="1322"/>
      <c r="P10" s="1322"/>
      <c r="Q10" s="1322"/>
      <c r="R10" s="320" t="s">
        <v>684</v>
      </c>
      <c r="S10" s="288"/>
      <c r="T10" s="136" t="s">
        <v>638</v>
      </c>
      <c r="AB10" s="290" t="s">
        <v>641</v>
      </c>
      <c r="AE10" s="1322"/>
      <c r="AF10" s="1322"/>
      <c r="AG10" s="1322"/>
      <c r="AH10" s="78" t="s">
        <v>699</v>
      </c>
      <c r="AL10" s="300"/>
    </row>
    <row r="11" spans="2:38" ht="13.5">
      <c r="B11" s="302" t="s">
        <v>548</v>
      </c>
      <c r="F11" s="136" t="s">
        <v>549</v>
      </c>
      <c r="M11" s="290" t="s">
        <v>630</v>
      </c>
      <c r="O11" s="1322"/>
      <c r="P11" s="1322"/>
      <c r="Q11" s="1322"/>
      <c r="R11" s="320" t="s">
        <v>685</v>
      </c>
      <c r="S11" s="288"/>
      <c r="T11" s="136" t="s">
        <v>639</v>
      </c>
      <c r="AB11" s="290" t="s">
        <v>642</v>
      </c>
      <c r="AE11" s="1322"/>
      <c r="AF11" s="1322"/>
      <c r="AG11" s="1322"/>
      <c r="AH11" s="78" t="s">
        <v>700</v>
      </c>
      <c r="AL11" s="300"/>
    </row>
    <row r="12" spans="2:38" ht="13.5">
      <c r="B12" s="303"/>
      <c r="E12" s="268"/>
      <c r="F12" s="78" t="s">
        <v>970</v>
      </c>
      <c r="M12" s="318" t="s">
        <v>631</v>
      </c>
      <c r="O12" s="1322"/>
      <c r="P12" s="1322"/>
      <c r="Q12" s="1322"/>
      <c r="R12" s="320" t="s">
        <v>686</v>
      </c>
      <c r="S12" s="288"/>
      <c r="T12" s="136" t="s">
        <v>61</v>
      </c>
      <c r="U12" s="136"/>
      <c r="AB12" s="290" t="s">
        <v>643</v>
      </c>
      <c r="AD12" s="136"/>
      <c r="AE12" s="1322"/>
      <c r="AF12" s="1322"/>
      <c r="AG12" s="1322"/>
      <c r="AH12" s="78" t="s">
        <v>701</v>
      </c>
      <c r="AL12" s="300"/>
    </row>
    <row r="13" spans="2:38" ht="13.5">
      <c r="B13" s="303"/>
      <c r="F13" s="178" t="s">
        <v>410</v>
      </c>
      <c r="M13" s="290" t="s">
        <v>632</v>
      </c>
      <c r="O13" s="1322"/>
      <c r="P13" s="1322"/>
      <c r="Q13" s="1322"/>
      <c r="R13" s="320" t="s">
        <v>687</v>
      </c>
      <c r="S13" s="287" t="s">
        <v>555</v>
      </c>
      <c r="T13" s="178" t="s">
        <v>63</v>
      </c>
      <c r="U13" s="136"/>
      <c r="AB13" s="290" t="s">
        <v>644</v>
      </c>
      <c r="AD13" s="276"/>
      <c r="AE13" s="1322"/>
      <c r="AF13" s="1322"/>
      <c r="AG13" s="1322"/>
      <c r="AH13" s="78" t="s">
        <v>702</v>
      </c>
      <c r="AL13" s="300"/>
    </row>
    <row r="14" spans="2:38" ht="13.5">
      <c r="B14" s="303"/>
      <c r="F14" s="178" t="s">
        <v>411</v>
      </c>
      <c r="M14" s="290" t="s">
        <v>633</v>
      </c>
      <c r="O14" s="1322"/>
      <c r="P14" s="1322"/>
      <c r="Q14" s="1322"/>
      <c r="R14" s="320" t="s">
        <v>688</v>
      </c>
      <c r="T14" s="136" t="s">
        <v>550</v>
      </c>
      <c r="AB14" s="290" t="s">
        <v>645</v>
      </c>
      <c r="AD14" s="136"/>
      <c r="AE14" s="1322"/>
      <c r="AF14" s="1322"/>
      <c r="AG14" s="1322"/>
      <c r="AH14" s="78" t="s">
        <v>703</v>
      </c>
      <c r="AL14" s="300"/>
    </row>
    <row r="15" spans="2:38" ht="14.25" thickBot="1">
      <c r="B15" s="304"/>
      <c r="C15" s="292"/>
      <c r="D15" s="292"/>
      <c r="E15" s="292"/>
      <c r="F15" s="292" t="s">
        <v>9</v>
      </c>
      <c r="G15" s="292"/>
      <c r="H15" s="292"/>
      <c r="I15" s="292"/>
      <c r="J15" s="292"/>
      <c r="K15" s="292"/>
      <c r="L15" s="292"/>
      <c r="M15" s="294" t="s">
        <v>634</v>
      </c>
      <c r="N15" s="292"/>
      <c r="O15" s="1325"/>
      <c r="P15" s="1325"/>
      <c r="Q15" s="1325"/>
      <c r="R15" s="321" t="s">
        <v>689</v>
      </c>
      <c r="T15" s="136" t="s">
        <v>114</v>
      </c>
      <c r="AB15" s="290" t="s">
        <v>646</v>
      </c>
      <c r="AD15" s="136"/>
      <c r="AE15" s="1322"/>
      <c r="AF15" s="1322"/>
      <c r="AG15" s="1322"/>
      <c r="AH15" s="78" t="s">
        <v>704</v>
      </c>
      <c r="AL15" s="300"/>
    </row>
    <row r="16" spans="2:38" ht="13.5">
      <c r="B16" s="302" t="s">
        <v>856</v>
      </c>
      <c r="F16" s="78" t="s">
        <v>670</v>
      </c>
      <c r="G16" s="178"/>
      <c r="M16" s="319" t="s">
        <v>671</v>
      </c>
      <c r="O16" s="1322"/>
      <c r="P16" s="1322"/>
      <c r="Q16" s="1322"/>
      <c r="R16" s="320" t="s">
        <v>690</v>
      </c>
      <c r="S16" s="303"/>
      <c r="T16" s="136" t="s">
        <v>116</v>
      </c>
      <c r="AB16" s="290" t="s">
        <v>647</v>
      </c>
      <c r="AD16" s="136"/>
      <c r="AE16" s="1322"/>
      <c r="AF16" s="1322"/>
      <c r="AG16" s="1322"/>
      <c r="AH16" s="78" t="s">
        <v>705</v>
      </c>
      <c r="AL16" s="300"/>
    </row>
    <row r="17" spans="2:38" ht="13.5">
      <c r="B17" s="303"/>
      <c r="F17" s="78" t="s">
        <v>625</v>
      </c>
      <c r="M17" s="290" t="s">
        <v>668</v>
      </c>
      <c r="O17" s="1322"/>
      <c r="P17" s="1322"/>
      <c r="Q17" s="1322"/>
      <c r="R17" s="320" t="s">
        <v>691</v>
      </c>
      <c r="S17" s="303"/>
      <c r="T17" s="136" t="s">
        <v>117</v>
      </c>
      <c r="AB17" s="290" t="s">
        <v>648</v>
      </c>
      <c r="AD17" s="136"/>
      <c r="AE17" s="1322"/>
      <c r="AF17" s="1322"/>
      <c r="AG17" s="1322"/>
      <c r="AH17" s="78" t="s">
        <v>706</v>
      </c>
      <c r="AL17" s="300"/>
    </row>
    <row r="18" spans="2:38" ht="13.5">
      <c r="B18" s="303"/>
      <c r="F18" s="117" t="s">
        <v>624</v>
      </c>
      <c r="M18" s="290"/>
      <c r="O18" s="1322"/>
      <c r="P18" s="1322"/>
      <c r="Q18" s="1322"/>
      <c r="R18" s="320" t="s">
        <v>692</v>
      </c>
      <c r="S18" s="303"/>
      <c r="T18" s="136" t="s">
        <v>621</v>
      </c>
      <c r="AB18" s="290" t="s">
        <v>649</v>
      </c>
      <c r="AD18" s="136"/>
      <c r="AE18" s="1322"/>
      <c r="AF18" s="1322"/>
      <c r="AG18" s="1322"/>
      <c r="AH18" s="78" t="s">
        <v>707</v>
      </c>
      <c r="AL18" s="300"/>
    </row>
    <row r="19" spans="2:38" ht="13.5">
      <c r="B19" s="303"/>
      <c r="F19" s="78" t="s">
        <v>626</v>
      </c>
      <c r="M19" s="290" t="s">
        <v>669</v>
      </c>
      <c r="O19" s="1322"/>
      <c r="P19" s="1322"/>
      <c r="Q19" s="1322"/>
      <c r="R19" s="320" t="s">
        <v>693</v>
      </c>
      <c r="S19" s="303"/>
      <c r="T19" s="136" t="s">
        <v>143</v>
      </c>
      <c r="AB19" s="290" t="s">
        <v>650</v>
      </c>
      <c r="AD19" s="136"/>
      <c r="AE19" s="1322"/>
      <c r="AF19" s="1322"/>
      <c r="AG19" s="1322"/>
      <c r="AH19" s="78" t="s">
        <v>708</v>
      </c>
      <c r="AL19" s="300"/>
    </row>
    <row r="20" spans="2:38" ht="13.5">
      <c r="B20" s="303"/>
      <c r="F20" s="78" t="s">
        <v>345</v>
      </c>
      <c r="M20" s="290" t="s">
        <v>672</v>
      </c>
      <c r="O20" s="1322"/>
      <c r="P20" s="1322"/>
      <c r="Q20" s="1322"/>
      <c r="R20" s="320" t="s">
        <v>694</v>
      </c>
      <c r="S20" s="303"/>
      <c r="T20" s="182" t="s">
        <v>551</v>
      </c>
      <c r="AB20" s="290" t="s">
        <v>651</v>
      </c>
      <c r="AD20" s="137"/>
      <c r="AE20" s="1322"/>
      <c r="AF20" s="1322"/>
      <c r="AG20" s="1322"/>
      <c r="AH20" s="78" t="s">
        <v>709</v>
      </c>
      <c r="AL20" s="300"/>
    </row>
    <row r="21" spans="2:38" ht="13.5">
      <c r="B21" s="303"/>
      <c r="F21" s="78" t="s">
        <v>346</v>
      </c>
      <c r="M21" s="290" t="s">
        <v>673</v>
      </c>
      <c r="O21" s="1322"/>
      <c r="P21" s="1322"/>
      <c r="Q21" s="1322"/>
      <c r="R21" s="320" t="s">
        <v>695</v>
      </c>
      <c r="S21" s="303"/>
      <c r="T21" s="136" t="s">
        <v>175</v>
      </c>
      <c r="AB21" s="290" t="s">
        <v>652</v>
      </c>
      <c r="AD21" s="137"/>
      <c r="AE21" s="1322"/>
      <c r="AF21" s="1322"/>
      <c r="AG21" s="1322"/>
      <c r="AH21" s="78" t="s">
        <v>710</v>
      </c>
      <c r="AL21" s="300"/>
    </row>
    <row r="22" spans="2:38" ht="13.5">
      <c r="B22" s="303"/>
      <c r="F22" s="78" t="s">
        <v>347</v>
      </c>
      <c r="M22" s="290" t="s">
        <v>674</v>
      </c>
      <c r="O22" s="1322"/>
      <c r="P22" s="1322"/>
      <c r="Q22" s="1322"/>
      <c r="R22" s="320" t="s">
        <v>696</v>
      </c>
      <c r="S22" s="303"/>
      <c r="T22" s="136" t="s">
        <v>449</v>
      </c>
      <c r="AB22" s="290" t="s">
        <v>653</v>
      </c>
      <c r="AD22" s="137"/>
      <c r="AE22" s="1322"/>
      <c r="AF22" s="1322"/>
      <c r="AG22" s="1322"/>
      <c r="AH22" s="78" t="s">
        <v>711</v>
      </c>
      <c r="AL22" s="300"/>
    </row>
    <row r="23" spans="2:38" ht="14.25" thickBot="1">
      <c r="B23" s="304"/>
      <c r="C23" s="292"/>
      <c r="D23" s="292"/>
      <c r="E23" s="292"/>
      <c r="O23" s="1322"/>
      <c r="P23" s="1322"/>
      <c r="Q23" s="1322"/>
      <c r="R23" s="321"/>
      <c r="S23" s="303"/>
      <c r="T23" s="136" t="s">
        <v>290</v>
      </c>
      <c r="AB23" s="290" t="s">
        <v>654</v>
      </c>
      <c r="AD23" s="137"/>
      <c r="AE23" s="1322"/>
      <c r="AF23" s="1322"/>
      <c r="AG23" s="1322"/>
      <c r="AH23" s="78" t="s">
        <v>712</v>
      </c>
      <c r="AL23" s="300"/>
    </row>
    <row r="24" spans="2:38" ht="13.5">
      <c r="B24" s="306" t="s">
        <v>675</v>
      </c>
      <c r="C24" s="296"/>
      <c r="D24" s="296"/>
      <c r="E24" s="296"/>
      <c r="F24" s="296"/>
      <c r="G24" s="296"/>
      <c r="H24" s="296"/>
      <c r="I24" s="296"/>
      <c r="J24" s="296"/>
      <c r="K24" s="296"/>
      <c r="L24" s="296"/>
      <c r="M24" s="296"/>
      <c r="N24" s="296"/>
      <c r="O24" s="296"/>
      <c r="P24" s="296"/>
      <c r="Q24" s="296"/>
      <c r="R24" s="320"/>
      <c r="S24" s="303"/>
      <c r="T24" s="136" t="s">
        <v>552</v>
      </c>
      <c r="AB24" s="290" t="s">
        <v>655</v>
      </c>
      <c r="AD24" s="137"/>
      <c r="AE24" s="1322"/>
      <c r="AF24" s="1322"/>
      <c r="AG24" s="1322"/>
      <c r="AH24" s="78" t="s">
        <v>713</v>
      </c>
      <c r="AL24" s="300"/>
    </row>
    <row r="25" spans="2:38" ht="13.5">
      <c r="B25" s="303"/>
      <c r="F25" s="78" t="s">
        <v>676</v>
      </c>
      <c r="M25" s="319" t="s">
        <v>678</v>
      </c>
      <c r="O25" s="1326"/>
      <c r="P25" s="1326"/>
      <c r="Q25" s="1326"/>
      <c r="R25" s="320" t="s">
        <v>718</v>
      </c>
      <c r="S25" s="303"/>
      <c r="T25" s="136" t="s">
        <v>301</v>
      </c>
      <c r="AB25" s="290" t="s">
        <v>656</v>
      </c>
      <c r="AD25" s="137"/>
      <c r="AE25" s="1322"/>
      <c r="AF25" s="1322"/>
      <c r="AG25" s="1322"/>
      <c r="AH25" s="78" t="s">
        <v>714</v>
      </c>
      <c r="AL25" s="300"/>
    </row>
    <row r="26" spans="2:38" ht="13.5">
      <c r="B26" s="303"/>
      <c r="F26" s="136" t="s">
        <v>550</v>
      </c>
      <c r="M26" s="319" t="s">
        <v>679</v>
      </c>
      <c r="O26" s="1326"/>
      <c r="P26" s="1326"/>
      <c r="Q26" s="1326"/>
      <c r="R26" s="320" t="s">
        <v>719</v>
      </c>
      <c r="S26" s="303"/>
      <c r="T26" s="136" t="s">
        <v>304</v>
      </c>
      <c r="AB26" s="290" t="s">
        <v>657</v>
      </c>
      <c r="AD26" s="137"/>
      <c r="AE26" s="1322"/>
      <c r="AF26" s="1322"/>
      <c r="AG26" s="1322"/>
      <c r="AH26" s="78" t="s">
        <v>715</v>
      </c>
      <c r="AL26" s="300"/>
    </row>
    <row r="27" spans="2:38" ht="13.5">
      <c r="B27" s="303"/>
      <c r="F27" s="283" t="s">
        <v>677</v>
      </c>
      <c r="M27" s="319" t="s">
        <v>680</v>
      </c>
      <c r="O27" s="1326"/>
      <c r="P27" s="1326"/>
      <c r="Q27" s="1326"/>
      <c r="R27" s="320" t="s">
        <v>720</v>
      </c>
      <c r="S27" s="303"/>
      <c r="T27" s="136" t="s">
        <v>825</v>
      </c>
      <c r="AB27" s="290" t="s">
        <v>658</v>
      </c>
      <c r="AE27" s="1322"/>
      <c r="AF27" s="1322"/>
      <c r="AG27" s="1322"/>
      <c r="AH27" s="78" t="s">
        <v>716</v>
      </c>
      <c r="AL27" s="300"/>
    </row>
    <row r="28" spans="2:38" ht="13.5">
      <c r="B28" s="303"/>
      <c r="F28" s="136" t="s">
        <v>61</v>
      </c>
      <c r="M28" s="319" t="s">
        <v>681</v>
      </c>
      <c r="O28" s="1326"/>
      <c r="P28" s="1326"/>
      <c r="Q28" s="1326"/>
      <c r="R28" s="320" t="s">
        <v>723</v>
      </c>
      <c r="S28" s="303"/>
      <c r="T28" s="136" t="s">
        <v>635</v>
      </c>
      <c r="AB28" s="290" t="s">
        <v>666</v>
      </c>
      <c r="AE28" s="1322"/>
      <c r="AF28" s="1322"/>
      <c r="AG28" s="1322"/>
      <c r="AH28" s="78" t="s">
        <v>717</v>
      </c>
      <c r="AL28" s="300"/>
    </row>
    <row r="29" spans="2:38" ht="12.75" thickBot="1">
      <c r="B29" s="304"/>
      <c r="C29" s="292"/>
      <c r="D29" s="292"/>
      <c r="E29" s="292"/>
      <c r="F29" s="292"/>
      <c r="G29" s="292"/>
      <c r="H29" s="292"/>
      <c r="I29" s="292"/>
      <c r="J29" s="292"/>
      <c r="K29" s="292"/>
      <c r="L29" s="292"/>
      <c r="M29" s="292"/>
      <c r="N29" s="292"/>
      <c r="O29" s="292"/>
      <c r="P29" s="292"/>
      <c r="Q29" s="292"/>
      <c r="R29" s="305"/>
      <c r="S29" s="304"/>
      <c r="T29" s="292" t="s">
        <v>623</v>
      </c>
      <c r="U29" s="317"/>
      <c r="V29" s="292"/>
      <c r="W29" s="292"/>
      <c r="X29" s="292"/>
      <c r="Y29" s="292"/>
      <c r="Z29" s="292"/>
      <c r="AA29" s="294"/>
      <c r="AB29" s="294" t="s">
        <v>667</v>
      </c>
      <c r="AC29" s="292"/>
      <c r="AD29" s="292"/>
      <c r="AE29" s="1325"/>
      <c r="AF29" s="1325"/>
      <c r="AG29" s="1325"/>
      <c r="AH29" s="292" t="s">
        <v>724</v>
      </c>
      <c r="AI29" s="292"/>
      <c r="AJ29" s="292"/>
      <c r="AK29" s="292"/>
      <c r="AL29" s="305"/>
    </row>
    <row r="30" spans="2:38" ht="12" customHeight="1">
      <c r="B30" s="284"/>
      <c r="C30" s="284"/>
      <c r="D30" s="284"/>
      <c r="E30" s="284"/>
      <c r="F30" s="284"/>
      <c r="G30" s="284"/>
      <c r="H30" s="284"/>
      <c r="I30" s="284"/>
      <c r="J30" s="284"/>
      <c r="K30" s="284"/>
      <c r="L30" s="284"/>
      <c r="M30" s="284"/>
      <c r="N30" s="284"/>
      <c r="O30" s="284"/>
      <c r="P30" s="284"/>
      <c r="Q30" s="284"/>
      <c r="R30" s="284"/>
      <c r="S30" s="284"/>
      <c r="T30" s="285"/>
      <c r="U30" s="284"/>
      <c r="V30" s="284"/>
      <c r="W30" s="284"/>
      <c r="X30" s="284"/>
      <c r="Y30" s="284"/>
      <c r="Z30" s="284"/>
      <c r="AA30" s="284"/>
      <c r="AB30" s="284"/>
      <c r="AC30" s="284"/>
      <c r="AD30" s="284"/>
      <c r="AE30" s="284"/>
      <c r="AF30" s="286"/>
      <c r="AG30" s="284"/>
      <c r="AH30" s="284"/>
      <c r="AI30" s="284"/>
      <c r="AJ30" s="284"/>
      <c r="AK30" s="284"/>
      <c r="AL30" s="284"/>
    </row>
    <row r="31" spans="2:38" s="114" customFormat="1" ht="13.5">
      <c r="B31" s="1233" t="s">
        <v>601</v>
      </c>
      <c r="C31" s="1233"/>
      <c r="D31" s="1233"/>
      <c r="E31" s="1233"/>
      <c r="F31" s="1233"/>
      <c r="G31" s="135" t="s">
        <v>760</v>
      </c>
      <c r="H31" s="113"/>
      <c r="I31" s="113"/>
      <c r="J31" s="113"/>
      <c r="K31" s="165"/>
      <c r="P31" s="165"/>
      <c r="Q31" s="166"/>
      <c r="R31" s="166"/>
      <c r="S31" s="166"/>
      <c r="T31" s="167"/>
      <c r="U31" s="167"/>
      <c r="Z31" s="167"/>
      <c r="AA31" s="167"/>
      <c r="AF31" s="164"/>
    </row>
    <row r="32" spans="2:38">
      <c r="B32" s="1233"/>
      <c r="C32" s="1233"/>
      <c r="D32" s="1233"/>
      <c r="E32" s="1233"/>
      <c r="F32" s="1233"/>
      <c r="G32" s="206" t="s">
        <v>602</v>
      </c>
      <c r="H32" s="80"/>
      <c r="I32" s="80"/>
      <c r="J32" s="80"/>
      <c r="K32" s="80"/>
      <c r="L32" s="80"/>
      <c r="M32" s="80"/>
      <c r="N32" s="80"/>
      <c r="O32" s="80"/>
      <c r="P32" s="80"/>
      <c r="Q32" s="80"/>
      <c r="R32" s="80"/>
      <c r="S32" s="80"/>
      <c r="T32" s="80"/>
      <c r="U32" s="80"/>
      <c r="V32" s="80"/>
      <c r="W32" s="80"/>
      <c r="X32" s="80"/>
      <c r="Y32" s="80"/>
      <c r="Z32" s="80"/>
      <c r="AA32" s="80"/>
      <c r="AB32" s="80"/>
      <c r="AC32" s="80"/>
      <c r="AD32" s="80"/>
      <c r="AE32" s="80"/>
      <c r="AF32" s="86"/>
      <c r="AG32" s="80"/>
      <c r="AH32" s="80"/>
      <c r="AI32" s="80"/>
      <c r="AJ32" s="80"/>
      <c r="AK32" s="80"/>
      <c r="AL32" s="80"/>
    </row>
    <row r="33" spans="2:38" ht="12.95" customHeight="1">
      <c r="B33" s="1287" t="s">
        <v>282</v>
      </c>
      <c r="C33" s="115">
        <v>1</v>
      </c>
      <c r="D33" s="160" t="s">
        <v>908</v>
      </c>
      <c r="E33" s="80"/>
      <c r="F33" s="80"/>
      <c r="G33" s="80"/>
      <c r="H33" s="80"/>
      <c r="I33" s="80"/>
      <c r="J33" s="80"/>
      <c r="K33" s="80"/>
      <c r="L33" s="80"/>
      <c r="M33" s="80"/>
      <c r="N33" s="80"/>
      <c r="O33" s="80"/>
      <c r="P33" s="80"/>
      <c r="Q33" s="80"/>
      <c r="R33" s="80"/>
      <c r="S33" s="80"/>
      <c r="T33" s="80"/>
      <c r="U33" s="80"/>
      <c r="V33" s="80"/>
      <c r="W33" s="80"/>
      <c r="X33" s="80"/>
      <c r="Y33" s="80"/>
      <c r="Z33" s="80"/>
      <c r="AA33" s="80"/>
      <c r="AB33" s="80"/>
      <c r="AC33" s="80"/>
      <c r="AD33" s="80"/>
      <c r="AE33" s="1202"/>
      <c r="AF33" s="1202"/>
      <c r="AG33" s="1202"/>
      <c r="AH33" s="1202"/>
      <c r="AI33" s="1202"/>
      <c r="AJ33" s="1202"/>
      <c r="AK33" s="1202"/>
      <c r="AL33" s="1167"/>
    </row>
    <row r="34" spans="2:38" ht="12.95" customHeight="1">
      <c r="B34" s="1287"/>
      <c r="C34" s="1215"/>
      <c r="D34" s="108" t="s">
        <v>613</v>
      </c>
      <c r="E34" s="269" t="s">
        <v>909</v>
      </c>
      <c r="AE34" s="108" t="s">
        <v>613</v>
      </c>
      <c r="AG34" s="1199"/>
      <c r="AH34" s="1199"/>
      <c r="AI34" s="1199"/>
      <c r="AJ34" s="1199"/>
      <c r="AK34" s="1199"/>
      <c r="AL34" s="126" t="s">
        <v>854</v>
      </c>
    </row>
    <row r="35" spans="2:38" ht="12.95" customHeight="1">
      <c r="B35" s="1287"/>
      <c r="C35" s="1215"/>
      <c r="D35" s="115" t="s">
        <v>615</v>
      </c>
      <c r="E35" s="149" t="s">
        <v>910</v>
      </c>
      <c r="F35" s="90"/>
      <c r="G35" s="90"/>
      <c r="H35" s="90"/>
      <c r="I35" s="90"/>
      <c r="J35" s="90"/>
      <c r="K35" s="90"/>
      <c r="L35" s="90"/>
      <c r="M35" s="90"/>
      <c r="N35" s="90"/>
      <c r="O35" s="90"/>
      <c r="P35" s="90"/>
      <c r="Q35" s="90"/>
      <c r="R35" s="90"/>
      <c r="S35" s="90"/>
      <c r="T35" s="90"/>
      <c r="U35" s="90"/>
      <c r="V35" s="90"/>
      <c r="W35" s="90"/>
      <c r="X35" s="90"/>
      <c r="Y35" s="90"/>
      <c r="Z35" s="90"/>
      <c r="AA35" s="90"/>
      <c r="AB35" s="90"/>
      <c r="AC35" s="90"/>
      <c r="AD35" s="90"/>
      <c r="AE35" s="1159"/>
      <c r="AF35" s="1160"/>
      <c r="AG35" s="1160"/>
      <c r="AH35" s="1160"/>
      <c r="AI35" s="1160"/>
      <c r="AJ35" s="1160"/>
      <c r="AK35" s="1160"/>
      <c r="AL35" s="1161"/>
    </row>
    <row r="36" spans="2:38" ht="12.95" customHeight="1">
      <c r="B36" s="1287"/>
      <c r="C36" s="1215"/>
      <c r="D36" s="1215"/>
      <c r="E36" s="153" t="s">
        <v>749</v>
      </c>
      <c r="F36" s="159" t="s">
        <v>911</v>
      </c>
      <c r="V36" s="153" t="s">
        <v>792</v>
      </c>
      <c r="X36" s="1296"/>
      <c r="Y36" s="1296"/>
      <c r="Z36" s="1296"/>
      <c r="AA36" s="1296"/>
      <c r="AB36" s="1296"/>
      <c r="AD36" s="126" t="s">
        <v>854</v>
      </c>
      <c r="AE36" s="1162"/>
      <c r="AF36" s="1163"/>
      <c r="AG36" s="1163"/>
      <c r="AH36" s="1163"/>
      <c r="AI36" s="1163"/>
      <c r="AJ36" s="1163"/>
      <c r="AK36" s="1163"/>
      <c r="AL36" s="1164"/>
    </row>
    <row r="37" spans="2:38" ht="12.95" customHeight="1">
      <c r="B37" s="1287"/>
      <c r="C37" s="1215"/>
      <c r="D37" s="1215"/>
      <c r="E37" s="148" t="s">
        <v>764</v>
      </c>
      <c r="F37" s="149" t="s">
        <v>912</v>
      </c>
      <c r="G37" s="90"/>
      <c r="H37" s="90"/>
      <c r="I37" s="90"/>
      <c r="J37" s="90"/>
      <c r="K37" s="90"/>
      <c r="L37" s="90"/>
      <c r="M37" s="90"/>
      <c r="N37" s="90"/>
      <c r="O37" s="90"/>
      <c r="P37" s="90"/>
      <c r="Q37" s="90"/>
      <c r="R37" s="90"/>
      <c r="S37" s="90"/>
      <c r="T37" s="90"/>
      <c r="U37" s="90"/>
      <c r="V37" s="148" t="s">
        <v>793</v>
      </c>
      <c r="W37" s="90"/>
      <c r="X37" s="1296"/>
      <c r="Y37" s="1296"/>
      <c r="Z37" s="1296"/>
      <c r="AA37" s="1296"/>
      <c r="AB37" s="1296"/>
      <c r="AC37" s="90"/>
      <c r="AD37" s="126" t="s">
        <v>854</v>
      </c>
      <c r="AE37" s="1162"/>
      <c r="AF37" s="1163"/>
      <c r="AG37" s="1163"/>
      <c r="AH37" s="1163"/>
      <c r="AI37" s="1163"/>
      <c r="AJ37" s="1163"/>
      <c r="AK37" s="1163"/>
      <c r="AL37" s="1164"/>
    </row>
    <row r="38" spans="2:38" ht="12.95" customHeight="1">
      <c r="B38" s="1287"/>
      <c r="C38" s="1215"/>
      <c r="D38" s="1215"/>
      <c r="E38" s="153" t="s">
        <v>765</v>
      </c>
      <c r="F38" s="159" t="s">
        <v>913</v>
      </c>
      <c r="V38" s="153" t="s">
        <v>798</v>
      </c>
      <c r="X38" s="1296"/>
      <c r="Y38" s="1296"/>
      <c r="Z38" s="1296"/>
      <c r="AA38" s="1296"/>
      <c r="AB38" s="1296"/>
      <c r="AD38" s="126" t="s">
        <v>854</v>
      </c>
      <c r="AE38" s="1162"/>
      <c r="AF38" s="1163"/>
      <c r="AG38" s="1163"/>
      <c r="AH38" s="1163"/>
      <c r="AI38" s="1163"/>
      <c r="AJ38" s="1163"/>
      <c r="AK38" s="1163"/>
      <c r="AL38" s="1164"/>
    </row>
    <row r="39" spans="2:38" ht="12.95" customHeight="1">
      <c r="B39" s="1287"/>
      <c r="C39" s="1215"/>
      <c r="D39" s="1215"/>
      <c r="E39" s="148" t="s">
        <v>766</v>
      </c>
      <c r="F39" s="149" t="s">
        <v>914</v>
      </c>
      <c r="G39" s="90"/>
      <c r="H39" s="90"/>
      <c r="I39" s="90"/>
      <c r="J39" s="90"/>
      <c r="K39" s="90"/>
      <c r="L39" s="90"/>
      <c r="M39" s="90"/>
      <c r="N39" s="90"/>
      <c r="O39" s="90"/>
      <c r="P39" s="90"/>
      <c r="Q39" s="90"/>
      <c r="R39" s="90"/>
      <c r="S39" s="90"/>
      <c r="T39" s="90"/>
      <c r="U39" s="90"/>
      <c r="V39" s="148" t="s">
        <v>794</v>
      </c>
      <c r="W39" s="90"/>
      <c r="X39" s="1296"/>
      <c r="Y39" s="1296"/>
      <c r="Z39" s="1296"/>
      <c r="AA39" s="1296"/>
      <c r="AB39" s="1296"/>
      <c r="AC39" s="90"/>
      <c r="AD39" s="126" t="s">
        <v>854</v>
      </c>
      <c r="AE39" s="1165"/>
      <c r="AF39" s="1166"/>
      <c r="AG39" s="1166"/>
      <c r="AH39" s="1166"/>
      <c r="AI39" s="1166"/>
      <c r="AJ39" s="1166"/>
      <c r="AK39" s="1166"/>
      <c r="AL39" s="1167"/>
    </row>
    <row r="40" spans="2:38" ht="12.95" customHeight="1">
      <c r="B40" s="1287"/>
      <c r="C40" s="1215"/>
      <c r="D40" s="1216"/>
      <c r="E40" s="148" t="s">
        <v>802</v>
      </c>
      <c r="F40" s="149" t="s">
        <v>915</v>
      </c>
      <c r="G40" s="90"/>
      <c r="H40" s="90"/>
      <c r="I40" s="90"/>
      <c r="J40" s="90"/>
      <c r="K40" s="90"/>
      <c r="L40" s="90"/>
      <c r="M40" s="90"/>
      <c r="N40" s="90"/>
      <c r="O40" s="90"/>
      <c r="P40" s="90"/>
      <c r="Q40" s="90"/>
      <c r="R40" s="90"/>
      <c r="S40" s="90"/>
      <c r="T40" s="90"/>
      <c r="U40" s="90"/>
      <c r="V40" s="91"/>
      <c r="W40" s="90"/>
      <c r="X40" s="90"/>
      <c r="Y40" s="90"/>
      <c r="Z40" s="90"/>
      <c r="AA40" s="90"/>
      <c r="AB40" s="90"/>
      <c r="AC40" s="90"/>
      <c r="AD40" s="90"/>
      <c r="AE40" s="115" t="s">
        <v>916</v>
      </c>
      <c r="AF40" s="91"/>
      <c r="AG40" s="1262">
        <v>0</v>
      </c>
      <c r="AH40" s="1262"/>
      <c r="AI40" s="1262"/>
      <c r="AJ40" s="1262"/>
      <c r="AK40" s="1262"/>
      <c r="AL40" s="126" t="s">
        <v>854</v>
      </c>
    </row>
    <row r="41" spans="2:38" ht="12.95" customHeight="1">
      <c r="B41" s="1287"/>
      <c r="C41" s="1216"/>
      <c r="D41" s="115" t="s">
        <v>617</v>
      </c>
      <c r="E41" s="207" t="s">
        <v>917</v>
      </c>
      <c r="F41" s="80"/>
      <c r="G41" s="80"/>
      <c r="H41" s="80"/>
      <c r="I41" s="80"/>
      <c r="J41" s="80"/>
      <c r="K41" s="80"/>
      <c r="L41" s="80"/>
      <c r="M41" s="80"/>
      <c r="N41" s="80"/>
      <c r="O41" s="80"/>
      <c r="P41" s="80"/>
      <c r="Q41" s="80"/>
      <c r="R41" s="80"/>
      <c r="S41" s="80"/>
      <c r="T41" s="80"/>
      <c r="U41" s="80"/>
      <c r="V41" s="86"/>
      <c r="W41" s="80"/>
      <c r="X41" s="80"/>
      <c r="Y41" s="80"/>
      <c r="Z41" s="80"/>
      <c r="AA41" s="80"/>
      <c r="AB41" s="80"/>
      <c r="AC41" s="80"/>
      <c r="AD41" s="80"/>
      <c r="AE41" s="109" t="s">
        <v>617</v>
      </c>
      <c r="AF41" s="86"/>
      <c r="AG41" s="1261">
        <f>+AG34</f>
        <v>0</v>
      </c>
      <c r="AH41" s="1261"/>
      <c r="AI41" s="1261"/>
      <c r="AJ41" s="1261"/>
      <c r="AK41" s="1261"/>
      <c r="AL41" s="126" t="s">
        <v>854</v>
      </c>
    </row>
    <row r="42" spans="2:38" ht="12.95" customHeight="1">
      <c r="B42" s="1287"/>
      <c r="C42" s="115">
        <v>2</v>
      </c>
      <c r="D42" s="138" t="s">
        <v>919</v>
      </c>
      <c r="V42" s="79"/>
      <c r="AE42" s="1159"/>
      <c r="AF42" s="1160"/>
      <c r="AG42" s="1160"/>
      <c r="AH42" s="1160"/>
      <c r="AI42" s="1160"/>
      <c r="AJ42" s="1160"/>
      <c r="AK42" s="1160"/>
      <c r="AL42" s="1161"/>
    </row>
    <row r="43" spans="2:38" ht="12.95" customHeight="1">
      <c r="B43" s="1287"/>
      <c r="C43" s="1214"/>
      <c r="D43" s="101" t="s">
        <v>613</v>
      </c>
      <c r="E43" s="149" t="s">
        <v>920</v>
      </c>
      <c r="F43" s="90"/>
      <c r="G43" s="90"/>
      <c r="H43" s="90"/>
      <c r="I43" s="90"/>
      <c r="J43" s="90"/>
      <c r="K43" s="90"/>
      <c r="L43" s="90"/>
      <c r="M43" s="90"/>
      <c r="N43" s="90"/>
      <c r="O43" s="90"/>
      <c r="P43" s="90"/>
      <c r="Q43" s="90"/>
      <c r="R43" s="90"/>
      <c r="S43" s="90"/>
      <c r="T43" s="90"/>
      <c r="U43" s="90"/>
      <c r="V43" s="91"/>
      <c r="W43" s="90"/>
      <c r="X43" s="90"/>
      <c r="Y43" s="90"/>
      <c r="Z43" s="90"/>
      <c r="AA43" s="90"/>
      <c r="AB43" s="90"/>
      <c r="AC43" s="90"/>
      <c r="AD43" s="89"/>
      <c r="AE43" s="1162"/>
      <c r="AF43" s="1163"/>
      <c r="AG43" s="1163"/>
      <c r="AH43" s="1163"/>
      <c r="AI43" s="1163"/>
      <c r="AJ43" s="1163"/>
      <c r="AK43" s="1163"/>
      <c r="AL43" s="1164"/>
    </row>
    <row r="44" spans="2:38" ht="12.95" customHeight="1">
      <c r="B44" s="1287"/>
      <c r="C44" s="1215"/>
      <c r="D44" s="1161"/>
      <c r="E44" s="176" t="s">
        <v>749</v>
      </c>
      <c r="F44" s="159" t="s">
        <v>921</v>
      </c>
      <c r="V44" s="148" t="s">
        <v>922</v>
      </c>
      <c r="X44" s="1156"/>
      <c r="Y44" s="1156"/>
      <c r="Z44" s="1156"/>
      <c r="AA44" s="1156"/>
      <c r="AB44" s="1156"/>
      <c r="AD44" s="126" t="s">
        <v>854</v>
      </c>
      <c r="AE44" s="1162"/>
      <c r="AF44" s="1163"/>
      <c r="AG44" s="1163"/>
      <c r="AH44" s="1163"/>
      <c r="AI44" s="1163"/>
      <c r="AJ44" s="1163"/>
      <c r="AK44" s="1163"/>
      <c r="AL44" s="1164"/>
    </row>
    <row r="45" spans="2:38" ht="12.95" customHeight="1">
      <c r="B45" s="1287"/>
      <c r="C45" s="1215"/>
      <c r="D45" s="1164"/>
      <c r="E45" s="158" t="s">
        <v>764</v>
      </c>
      <c r="F45" s="149" t="s">
        <v>923</v>
      </c>
      <c r="G45" s="90"/>
      <c r="H45" s="90"/>
      <c r="I45" s="90"/>
      <c r="J45" s="90"/>
      <c r="K45" s="90"/>
      <c r="L45" s="90"/>
      <c r="M45" s="90"/>
      <c r="N45" s="90"/>
      <c r="O45" s="90"/>
      <c r="P45" s="90"/>
      <c r="Q45" s="90"/>
      <c r="R45" s="90"/>
      <c r="S45" s="90"/>
      <c r="T45" s="90"/>
      <c r="U45" s="90"/>
      <c r="V45" s="139"/>
      <c r="W45" s="90"/>
      <c r="X45" s="90"/>
      <c r="Y45" s="90"/>
      <c r="Z45" s="90"/>
      <c r="AA45" s="90"/>
      <c r="AB45" s="90"/>
      <c r="AC45" s="90"/>
      <c r="AD45" s="127"/>
      <c r="AE45" s="1162"/>
      <c r="AF45" s="1163"/>
      <c r="AG45" s="1163"/>
      <c r="AH45" s="1163"/>
      <c r="AI45" s="1163"/>
      <c r="AJ45" s="1163"/>
      <c r="AK45" s="1163"/>
      <c r="AL45" s="1164"/>
    </row>
    <row r="46" spans="2:38" ht="12.95" customHeight="1">
      <c r="B46" s="1287"/>
      <c r="C46" s="1215"/>
      <c r="D46" s="1164"/>
      <c r="E46" s="1161"/>
      <c r="F46" s="153" t="s">
        <v>791</v>
      </c>
      <c r="G46" s="205" t="s">
        <v>924</v>
      </c>
      <c r="V46" s="153" t="s">
        <v>925</v>
      </c>
      <c r="X46" s="1156"/>
      <c r="Y46" s="1156"/>
      <c r="Z46" s="1156"/>
      <c r="AA46" s="1156"/>
      <c r="AB46" s="1156"/>
      <c r="AD46" s="126" t="s">
        <v>854</v>
      </c>
      <c r="AE46" s="1162"/>
      <c r="AF46" s="1163"/>
      <c r="AG46" s="1163"/>
      <c r="AH46" s="1163"/>
      <c r="AI46" s="1163"/>
      <c r="AJ46" s="1163"/>
      <c r="AK46" s="1163"/>
      <c r="AL46" s="1164"/>
    </row>
    <row r="47" spans="2:38" ht="12.95" customHeight="1">
      <c r="B47" s="1287"/>
      <c r="C47" s="1215"/>
      <c r="D47" s="1164"/>
      <c r="E47" s="1164"/>
      <c r="F47" s="148" t="s">
        <v>797</v>
      </c>
      <c r="G47" s="141" t="s">
        <v>926</v>
      </c>
      <c r="H47" s="90"/>
      <c r="I47" s="90"/>
      <c r="J47" s="90"/>
      <c r="K47" s="90"/>
      <c r="L47" s="90"/>
      <c r="M47" s="90"/>
      <c r="N47" s="90"/>
      <c r="O47" s="90"/>
      <c r="P47" s="90"/>
      <c r="Q47" s="90"/>
      <c r="R47" s="90"/>
      <c r="S47" s="90"/>
      <c r="T47" s="90"/>
      <c r="U47" s="90"/>
      <c r="V47" s="148" t="s">
        <v>927</v>
      </c>
      <c r="W47" s="90"/>
      <c r="X47" s="1156"/>
      <c r="Y47" s="1156"/>
      <c r="Z47" s="1156"/>
      <c r="AA47" s="1156"/>
      <c r="AB47" s="1156"/>
      <c r="AC47" s="90"/>
      <c r="AD47" s="126" t="s">
        <v>854</v>
      </c>
      <c r="AE47" s="1162"/>
      <c r="AF47" s="1163"/>
      <c r="AG47" s="1163"/>
      <c r="AH47" s="1163"/>
      <c r="AI47" s="1163"/>
      <c r="AJ47" s="1163"/>
      <c r="AK47" s="1163"/>
      <c r="AL47" s="1164"/>
    </row>
    <row r="48" spans="2:38" ht="12.95" customHeight="1">
      <c r="B48" s="1287"/>
      <c r="C48" s="1215"/>
      <c r="D48" s="1164"/>
      <c r="E48" s="1164"/>
      <c r="F48" s="153" t="s">
        <v>800</v>
      </c>
      <c r="G48" s="205" t="s">
        <v>928</v>
      </c>
      <c r="V48" s="153" t="s">
        <v>929</v>
      </c>
      <c r="X48" s="1156">
        <v>0</v>
      </c>
      <c r="Y48" s="1156"/>
      <c r="Z48" s="1156"/>
      <c r="AA48" s="1156"/>
      <c r="AB48" s="1156"/>
      <c r="AD48" s="126" t="s">
        <v>854</v>
      </c>
      <c r="AE48" s="1162"/>
      <c r="AF48" s="1163"/>
      <c r="AG48" s="1163"/>
      <c r="AH48" s="1163"/>
      <c r="AI48" s="1163"/>
      <c r="AJ48" s="1163"/>
      <c r="AK48" s="1163"/>
      <c r="AL48" s="1164"/>
    </row>
    <row r="49" spans="2:38" ht="12.95" customHeight="1">
      <c r="B49" s="1287"/>
      <c r="C49" s="1215"/>
      <c r="D49" s="1167"/>
      <c r="E49" s="115" t="s">
        <v>765</v>
      </c>
      <c r="F49" s="149" t="s">
        <v>930</v>
      </c>
      <c r="G49" s="90"/>
      <c r="H49" s="90"/>
      <c r="I49" s="90"/>
      <c r="J49" s="90"/>
      <c r="K49" s="90"/>
      <c r="L49" s="90"/>
      <c r="M49" s="90"/>
      <c r="N49" s="90"/>
      <c r="O49" s="90"/>
      <c r="P49" s="90"/>
      <c r="Q49" s="90"/>
      <c r="R49" s="90"/>
      <c r="S49" s="90"/>
      <c r="T49" s="90"/>
      <c r="U49" s="90"/>
      <c r="V49" s="139"/>
      <c r="W49" s="90"/>
      <c r="X49" s="90"/>
      <c r="Y49" s="90"/>
      <c r="Z49" s="90"/>
      <c r="AA49" s="90"/>
      <c r="AB49" s="90"/>
      <c r="AC49" s="90"/>
      <c r="AD49" s="90"/>
      <c r="AE49" s="148" t="s">
        <v>931</v>
      </c>
      <c r="AF49" s="91"/>
      <c r="AG49" s="1156">
        <v>0</v>
      </c>
      <c r="AH49" s="1156"/>
      <c r="AI49" s="1156"/>
      <c r="AJ49" s="1156"/>
      <c r="AK49" s="1156"/>
      <c r="AL49" s="127" t="s">
        <v>854</v>
      </c>
    </row>
    <row r="50" spans="2:38" ht="12.95" customHeight="1">
      <c r="B50" s="1287"/>
      <c r="C50" s="1215"/>
      <c r="D50" s="158" t="s">
        <v>615</v>
      </c>
      <c r="E50" s="207" t="s">
        <v>932</v>
      </c>
      <c r="F50" s="135"/>
      <c r="V50" s="137"/>
      <c r="AE50" s="1249"/>
      <c r="AF50" s="1250"/>
      <c r="AG50" s="1250"/>
      <c r="AH50" s="1250"/>
      <c r="AI50" s="1250"/>
      <c r="AJ50" s="1250"/>
      <c r="AK50" s="1250"/>
      <c r="AL50" s="1226"/>
    </row>
    <row r="51" spans="2:38" ht="12.95" customHeight="1">
      <c r="B51" s="1287"/>
      <c r="C51" s="1215"/>
      <c r="D51" s="1251"/>
      <c r="E51" s="183" t="s">
        <v>749</v>
      </c>
      <c r="F51" s="149" t="s">
        <v>924</v>
      </c>
      <c r="G51" s="90"/>
      <c r="H51" s="90"/>
      <c r="I51" s="90"/>
      <c r="J51" s="90"/>
      <c r="K51" s="90"/>
      <c r="L51" s="90"/>
      <c r="M51" s="90"/>
      <c r="N51" s="90"/>
      <c r="O51" s="90"/>
      <c r="P51" s="90"/>
      <c r="Q51" s="90"/>
      <c r="R51" s="90"/>
      <c r="S51" s="90"/>
      <c r="T51" s="90"/>
      <c r="U51" s="90"/>
      <c r="V51" s="148" t="s">
        <v>792</v>
      </c>
      <c r="W51" s="90"/>
      <c r="X51" s="1156"/>
      <c r="Y51" s="1156"/>
      <c r="Z51" s="1156"/>
      <c r="AA51" s="1156"/>
      <c r="AB51" s="1156"/>
      <c r="AD51" s="126" t="s">
        <v>854</v>
      </c>
      <c r="AE51" s="1251"/>
      <c r="AF51" s="1252"/>
      <c r="AG51" s="1252"/>
      <c r="AH51" s="1252"/>
      <c r="AI51" s="1252"/>
      <c r="AJ51" s="1252"/>
      <c r="AK51" s="1252"/>
      <c r="AL51" s="1227"/>
    </row>
    <row r="52" spans="2:38" ht="12.95" customHeight="1">
      <c r="B52" s="1287"/>
      <c r="C52" s="1215"/>
      <c r="D52" s="1251"/>
      <c r="E52" s="173" t="s">
        <v>764</v>
      </c>
      <c r="F52" s="159" t="s">
        <v>926</v>
      </c>
      <c r="V52" s="153" t="s">
        <v>793</v>
      </c>
      <c r="X52" s="1156"/>
      <c r="Y52" s="1156"/>
      <c r="Z52" s="1156"/>
      <c r="AA52" s="1156"/>
      <c r="AB52" s="1156"/>
      <c r="AD52" s="126" t="s">
        <v>854</v>
      </c>
      <c r="AE52" s="1253"/>
      <c r="AF52" s="1254"/>
      <c r="AG52" s="1254"/>
      <c r="AH52" s="1254"/>
      <c r="AI52" s="1254"/>
      <c r="AJ52" s="1254"/>
      <c r="AK52" s="1254"/>
      <c r="AL52" s="1228"/>
    </row>
    <row r="53" spans="2:38" ht="12.95" customHeight="1">
      <c r="B53" s="1287"/>
      <c r="C53" s="1215"/>
      <c r="D53" s="1251"/>
      <c r="E53" s="148" t="s">
        <v>765</v>
      </c>
      <c r="F53" s="149" t="s">
        <v>443</v>
      </c>
      <c r="G53" s="90"/>
      <c r="H53" s="90"/>
      <c r="I53" s="90"/>
      <c r="J53" s="90"/>
      <c r="K53" s="90"/>
      <c r="L53" s="90"/>
      <c r="M53" s="90"/>
      <c r="N53" s="90"/>
      <c r="O53" s="90"/>
      <c r="P53" s="90"/>
      <c r="Q53" s="90"/>
      <c r="R53" s="90"/>
      <c r="S53" s="90"/>
      <c r="T53" s="90"/>
      <c r="U53" s="90"/>
      <c r="V53" s="139"/>
      <c r="W53" s="90"/>
      <c r="X53" s="90"/>
      <c r="Y53" s="90"/>
      <c r="Z53" s="90"/>
      <c r="AA53" s="90"/>
      <c r="AB53" s="90"/>
      <c r="AC53" s="90"/>
      <c r="AD53" s="89"/>
      <c r="AE53" s="145" t="s">
        <v>798</v>
      </c>
      <c r="AG53" s="1156">
        <v>0</v>
      </c>
      <c r="AH53" s="1156"/>
      <c r="AI53" s="1156"/>
      <c r="AJ53" s="1156"/>
      <c r="AK53" s="1156"/>
      <c r="AL53" s="126" t="s">
        <v>854</v>
      </c>
    </row>
    <row r="54" spans="2:38" ht="12.95" customHeight="1">
      <c r="B54" s="1287"/>
      <c r="C54" s="1216"/>
      <c r="D54" s="176" t="s">
        <v>617</v>
      </c>
      <c r="E54" s="136" t="s">
        <v>444</v>
      </c>
      <c r="F54" s="137"/>
      <c r="G54" s="135"/>
      <c r="V54" s="137"/>
      <c r="AE54" s="145" t="s">
        <v>795</v>
      </c>
      <c r="AF54" s="120"/>
      <c r="AG54" s="1156">
        <v>0</v>
      </c>
      <c r="AH54" s="1156"/>
      <c r="AI54" s="1156"/>
      <c r="AJ54" s="1156"/>
      <c r="AK54" s="1156"/>
      <c r="AL54" s="126" t="s">
        <v>854</v>
      </c>
    </row>
    <row r="55" spans="2:38" ht="12.95" customHeight="1">
      <c r="B55" s="1287"/>
      <c r="C55" s="148">
        <v>3</v>
      </c>
      <c r="D55" s="138" t="s">
        <v>933</v>
      </c>
      <c r="E55" s="138"/>
      <c r="F55" s="90"/>
      <c r="G55" s="90"/>
      <c r="H55" s="90"/>
      <c r="I55" s="90"/>
      <c r="J55" s="90"/>
      <c r="K55" s="90"/>
      <c r="L55" s="90"/>
      <c r="M55" s="90"/>
      <c r="N55" s="90"/>
      <c r="O55" s="90"/>
      <c r="P55" s="90"/>
      <c r="Q55" s="90"/>
      <c r="R55" s="90"/>
      <c r="S55" s="90"/>
      <c r="T55" s="90"/>
      <c r="U55" s="90"/>
      <c r="V55" s="139"/>
      <c r="W55" s="90"/>
      <c r="X55" s="90"/>
      <c r="Y55" s="90"/>
      <c r="Z55" s="90"/>
      <c r="AA55" s="90"/>
      <c r="AB55" s="90"/>
      <c r="AC55" s="90"/>
      <c r="AD55" s="89"/>
      <c r="AE55" s="148">
        <v>3</v>
      </c>
      <c r="AF55" s="120"/>
      <c r="AG55" s="1156"/>
      <c r="AH55" s="1156"/>
      <c r="AI55" s="1156"/>
      <c r="AJ55" s="1156"/>
      <c r="AK55" s="1156"/>
      <c r="AL55" s="126" t="s">
        <v>854</v>
      </c>
    </row>
    <row r="56" spans="2:38" ht="12.95" customHeight="1">
      <c r="B56" s="1288"/>
      <c r="C56" s="148">
        <v>4</v>
      </c>
      <c r="D56" s="138" t="s">
        <v>934</v>
      </c>
      <c r="E56" s="171"/>
      <c r="F56" s="80"/>
      <c r="G56" s="80"/>
      <c r="H56" s="80"/>
      <c r="I56" s="80"/>
      <c r="J56" s="80"/>
      <c r="K56" s="80"/>
      <c r="L56" s="80"/>
      <c r="M56" s="80"/>
      <c r="N56" s="80"/>
      <c r="O56" s="80"/>
      <c r="P56" s="80"/>
      <c r="Q56" s="80"/>
      <c r="R56" s="80"/>
      <c r="S56" s="80"/>
      <c r="T56" s="80"/>
      <c r="U56" s="80"/>
      <c r="V56" s="204"/>
      <c r="W56" s="80"/>
      <c r="X56" s="80"/>
      <c r="Y56" s="80"/>
      <c r="Z56" s="80"/>
      <c r="AA56" s="80"/>
      <c r="AB56" s="80"/>
      <c r="AC56" s="80"/>
      <c r="AD56" s="80"/>
      <c r="AE56" s="148">
        <v>4</v>
      </c>
      <c r="AF56" s="86"/>
      <c r="AG56" s="1156">
        <v>0</v>
      </c>
      <c r="AH56" s="1156"/>
      <c r="AI56" s="1156"/>
      <c r="AJ56" s="1156"/>
      <c r="AK56" s="1156"/>
      <c r="AL56" s="126" t="s">
        <v>854</v>
      </c>
    </row>
    <row r="57" spans="2:38" ht="12.95" customHeight="1">
      <c r="B57" s="1287" t="s">
        <v>283</v>
      </c>
      <c r="C57" s="161">
        <v>1</v>
      </c>
      <c r="D57" s="160" t="s">
        <v>935</v>
      </c>
      <c r="E57" s="146"/>
      <c r="F57" s="146"/>
      <c r="G57" s="90"/>
      <c r="H57" s="90"/>
      <c r="I57" s="90"/>
      <c r="J57" s="90"/>
      <c r="K57" s="90"/>
      <c r="L57" s="90"/>
      <c r="M57" s="90"/>
      <c r="N57" s="90"/>
      <c r="O57" s="90"/>
      <c r="P57" s="90"/>
      <c r="Q57" s="90"/>
      <c r="R57" s="90"/>
      <c r="S57" s="90"/>
      <c r="T57" s="90"/>
      <c r="U57" s="90"/>
      <c r="V57" s="209"/>
      <c r="W57" s="90"/>
      <c r="X57" s="90"/>
      <c r="Y57" s="90"/>
      <c r="Z57" s="90"/>
      <c r="AA57" s="90"/>
      <c r="AB57" s="90"/>
      <c r="AC57" s="90"/>
      <c r="AD57" s="89"/>
      <c r="AE57" s="1249"/>
      <c r="AF57" s="1250"/>
      <c r="AG57" s="1250"/>
      <c r="AH57" s="1250"/>
      <c r="AI57" s="1250"/>
      <c r="AJ57" s="1250"/>
      <c r="AK57" s="1250"/>
      <c r="AL57" s="1226"/>
    </row>
    <row r="58" spans="2:38" ht="12.95" customHeight="1">
      <c r="B58" s="1287"/>
      <c r="C58" s="153"/>
      <c r="D58" s="144" t="s">
        <v>613</v>
      </c>
      <c r="E58" s="270" t="s">
        <v>936</v>
      </c>
      <c r="F58" s="136"/>
      <c r="V58" s="145" t="s">
        <v>937</v>
      </c>
      <c r="W58" s="85"/>
      <c r="X58" s="1297"/>
      <c r="Y58" s="1297"/>
      <c r="Z58" s="1297"/>
      <c r="AA58" s="1297"/>
      <c r="AB58" s="1297"/>
      <c r="AC58" s="80"/>
      <c r="AD58" s="126" t="s">
        <v>854</v>
      </c>
      <c r="AE58" s="1251"/>
      <c r="AF58" s="1252"/>
      <c r="AG58" s="1252"/>
      <c r="AH58" s="1252"/>
      <c r="AI58" s="1252"/>
      <c r="AJ58" s="1252"/>
      <c r="AK58" s="1252"/>
      <c r="AL58" s="1227"/>
    </row>
    <row r="59" spans="2:38" ht="12.95" customHeight="1">
      <c r="B59" s="1287"/>
      <c r="C59" s="153"/>
      <c r="D59" s="140" t="s">
        <v>615</v>
      </c>
      <c r="E59" s="271" t="s">
        <v>825</v>
      </c>
      <c r="F59" s="150"/>
      <c r="G59" s="90"/>
      <c r="H59" s="90"/>
      <c r="I59" s="90"/>
      <c r="J59" s="90"/>
      <c r="K59" s="90"/>
      <c r="L59" s="90"/>
      <c r="M59" s="90"/>
      <c r="N59" s="90"/>
      <c r="O59" s="90"/>
      <c r="P59" s="90"/>
      <c r="Q59" s="90"/>
      <c r="R59" s="90"/>
      <c r="S59" s="90"/>
      <c r="T59" s="90"/>
      <c r="U59" s="89"/>
      <c r="V59" s="148" t="s">
        <v>938</v>
      </c>
      <c r="X59" s="1199"/>
      <c r="Y59" s="1199"/>
      <c r="Z59" s="1199"/>
      <c r="AA59" s="1199"/>
      <c r="AB59" s="1199"/>
      <c r="AD59" s="126" t="s">
        <v>854</v>
      </c>
      <c r="AE59" s="1251"/>
      <c r="AF59" s="1252"/>
      <c r="AG59" s="1252"/>
      <c r="AH59" s="1252"/>
      <c r="AI59" s="1252"/>
      <c r="AJ59" s="1252"/>
      <c r="AK59" s="1252"/>
      <c r="AL59" s="1227"/>
    </row>
    <row r="60" spans="2:38" ht="12.95" customHeight="1">
      <c r="B60" s="1287"/>
      <c r="C60" s="152"/>
      <c r="D60" s="140" t="s">
        <v>617</v>
      </c>
      <c r="E60" s="202" t="s">
        <v>939</v>
      </c>
      <c r="F60" s="136"/>
      <c r="V60" s="148" t="s">
        <v>918</v>
      </c>
      <c r="W60" s="96"/>
      <c r="X60" s="1261">
        <f>X58-X59</f>
        <v>0</v>
      </c>
      <c r="Y60" s="1261"/>
      <c r="Z60" s="1261"/>
      <c r="AA60" s="1261"/>
      <c r="AB60" s="1261"/>
      <c r="AC60" s="90"/>
      <c r="AD60" s="126" t="s">
        <v>854</v>
      </c>
      <c r="AE60" s="1251"/>
      <c r="AF60" s="1252"/>
      <c r="AG60" s="1252"/>
      <c r="AH60" s="1252"/>
      <c r="AI60" s="1252"/>
      <c r="AJ60" s="1252"/>
      <c r="AK60" s="1252"/>
      <c r="AL60" s="1227"/>
    </row>
    <row r="61" spans="2:38" ht="12.95" customHeight="1">
      <c r="B61" s="1287"/>
      <c r="C61" s="152"/>
      <c r="D61" s="140" t="s">
        <v>619</v>
      </c>
      <c r="E61" s="138" t="s">
        <v>940</v>
      </c>
      <c r="F61" s="150"/>
      <c r="G61" s="90"/>
      <c r="H61" s="90"/>
      <c r="I61" s="90"/>
      <c r="J61" s="90"/>
      <c r="K61" s="90"/>
      <c r="L61" s="90"/>
      <c r="M61" s="90"/>
      <c r="N61" s="90"/>
      <c r="O61" s="90"/>
      <c r="P61" s="90"/>
      <c r="Q61" s="90"/>
      <c r="R61" s="90"/>
      <c r="S61" s="90"/>
      <c r="T61" s="90"/>
      <c r="U61" s="89"/>
      <c r="V61" s="148" t="s">
        <v>941</v>
      </c>
      <c r="W61" s="96"/>
      <c r="X61" s="1156"/>
      <c r="Y61" s="1156"/>
      <c r="Z61" s="1156"/>
      <c r="AA61" s="1156"/>
      <c r="AB61" s="1156"/>
      <c r="AC61" s="90"/>
      <c r="AD61" s="126" t="s">
        <v>854</v>
      </c>
      <c r="AE61" s="1253"/>
      <c r="AF61" s="1254"/>
      <c r="AG61" s="1254"/>
      <c r="AH61" s="1254"/>
      <c r="AI61" s="1254"/>
      <c r="AJ61" s="1254"/>
      <c r="AK61" s="1254"/>
      <c r="AL61" s="1228"/>
    </row>
    <row r="62" spans="2:38" ht="12.95" customHeight="1">
      <c r="B62" s="1287"/>
      <c r="C62" s="144"/>
      <c r="D62" s="140" t="s">
        <v>726</v>
      </c>
      <c r="E62" s="138" t="s">
        <v>942</v>
      </c>
      <c r="F62" s="150"/>
      <c r="G62" s="90"/>
      <c r="H62" s="90"/>
      <c r="I62" s="90"/>
      <c r="J62" s="90"/>
      <c r="K62" s="90"/>
      <c r="L62" s="90"/>
      <c r="M62" s="90"/>
      <c r="N62" s="90"/>
      <c r="O62" s="90"/>
      <c r="P62" s="90"/>
      <c r="Q62" s="90"/>
      <c r="R62" s="90"/>
      <c r="S62" s="90"/>
      <c r="T62" s="90"/>
      <c r="U62" s="90"/>
      <c r="V62" s="139"/>
      <c r="W62" s="90"/>
      <c r="X62" s="90"/>
      <c r="Y62" s="90"/>
      <c r="Z62" s="90"/>
      <c r="AA62" s="90"/>
      <c r="AB62" s="90"/>
      <c r="AC62" s="90"/>
      <c r="AD62" s="89"/>
      <c r="AE62" s="148" t="s">
        <v>943</v>
      </c>
      <c r="AF62" s="91"/>
      <c r="AG62" s="1261">
        <f>X60</f>
        <v>0</v>
      </c>
      <c r="AH62" s="1261"/>
      <c r="AI62" s="1261"/>
      <c r="AJ62" s="1261"/>
      <c r="AK62" s="1261"/>
      <c r="AL62" s="126" t="s">
        <v>854</v>
      </c>
    </row>
    <row r="63" spans="2:38" ht="12.95" customHeight="1">
      <c r="B63" s="1287"/>
      <c r="C63" s="148">
        <v>2</v>
      </c>
      <c r="D63" s="138" t="s">
        <v>944</v>
      </c>
      <c r="E63" s="150"/>
      <c r="F63" s="150"/>
      <c r="G63" s="90"/>
      <c r="H63" s="90"/>
      <c r="I63" s="90"/>
      <c r="J63" s="90"/>
      <c r="K63" s="90"/>
      <c r="L63" s="90"/>
      <c r="M63" s="90"/>
      <c r="N63" s="90"/>
      <c r="O63" s="90"/>
      <c r="P63" s="90"/>
      <c r="Q63" s="90"/>
      <c r="R63" s="90"/>
      <c r="S63" s="90"/>
      <c r="T63" s="90"/>
      <c r="U63" s="90"/>
      <c r="V63" s="139"/>
      <c r="W63" s="90"/>
      <c r="X63" s="90"/>
      <c r="Y63" s="90"/>
      <c r="Z63" s="90"/>
      <c r="AA63" s="90"/>
      <c r="AB63" s="90"/>
      <c r="AC63" s="90"/>
      <c r="AD63" s="89"/>
      <c r="AE63" s="1249"/>
      <c r="AF63" s="1250"/>
      <c r="AG63" s="1250"/>
      <c r="AH63" s="1250"/>
      <c r="AI63" s="1250"/>
      <c r="AJ63" s="1250"/>
      <c r="AK63" s="1250"/>
      <c r="AL63" s="1226"/>
    </row>
    <row r="64" spans="2:38" ht="12.95" customHeight="1">
      <c r="B64" s="1287"/>
      <c r="C64" s="142"/>
      <c r="D64" s="145" t="s">
        <v>613</v>
      </c>
      <c r="E64" s="156" t="s">
        <v>945</v>
      </c>
      <c r="F64" s="136"/>
      <c r="V64" s="137"/>
      <c r="AE64" s="1251"/>
      <c r="AF64" s="1252"/>
      <c r="AG64" s="1252"/>
      <c r="AH64" s="1252"/>
      <c r="AI64" s="1252"/>
      <c r="AJ64" s="1252"/>
      <c r="AK64" s="1252"/>
      <c r="AL64" s="1227"/>
    </row>
    <row r="65" spans="1:38" ht="12.95" customHeight="1">
      <c r="B65" s="1287"/>
      <c r="C65" s="152"/>
      <c r="D65" s="143"/>
      <c r="E65" s="148" t="s">
        <v>749</v>
      </c>
      <c r="F65" s="138" t="s">
        <v>946</v>
      </c>
      <c r="G65" s="90"/>
      <c r="H65" s="90"/>
      <c r="I65" s="90"/>
      <c r="J65" s="90"/>
      <c r="K65" s="90"/>
      <c r="L65" s="90"/>
      <c r="M65" s="90"/>
      <c r="N65" s="90"/>
      <c r="O65" s="90"/>
      <c r="P65" s="90"/>
      <c r="Q65" s="90"/>
      <c r="R65" s="90"/>
      <c r="S65" s="90"/>
      <c r="T65" s="90"/>
      <c r="U65" s="89"/>
      <c r="V65" s="148" t="s">
        <v>922</v>
      </c>
      <c r="W65" s="90"/>
      <c r="X65" s="1156"/>
      <c r="Y65" s="1156"/>
      <c r="Z65" s="1156"/>
      <c r="AA65" s="1156"/>
      <c r="AB65" s="1156"/>
      <c r="AC65" s="90"/>
      <c r="AD65" s="127" t="s">
        <v>854</v>
      </c>
      <c r="AE65" s="1251"/>
      <c r="AF65" s="1252"/>
      <c r="AG65" s="1252"/>
      <c r="AH65" s="1252"/>
      <c r="AI65" s="1252"/>
      <c r="AJ65" s="1252"/>
      <c r="AK65" s="1252"/>
      <c r="AL65" s="1227"/>
    </row>
    <row r="66" spans="1:38" ht="12.95" customHeight="1">
      <c r="B66" s="1287"/>
      <c r="C66" s="152"/>
      <c r="D66" s="153"/>
      <c r="E66" s="148" t="s">
        <v>764</v>
      </c>
      <c r="F66" s="138" t="s">
        <v>947</v>
      </c>
      <c r="G66" s="90"/>
      <c r="H66" s="90"/>
      <c r="I66" s="90"/>
      <c r="J66" s="90"/>
      <c r="K66" s="90"/>
      <c r="L66" s="90"/>
      <c r="M66" s="90"/>
      <c r="N66" s="90"/>
      <c r="O66" s="90"/>
      <c r="P66" s="90"/>
      <c r="Q66" s="90"/>
      <c r="R66" s="90"/>
      <c r="S66" s="90"/>
      <c r="T66" s="90"/>
      <c r="U66" s="89"/>
      <c r="V66" s="148" t="s">
        <v>948</v>
      </c>
      <c r="W66" s="90"/>
      <c r="X66" s="1156"/>
      <c r="Y66" s="1156"/>
      <c r="Z66" s="1156"/>
      <c r="AA66" s="1156"/>
      <c r="AB66" s="1156"/>
      <c r="AC66" s="90"/>
      <c r="AD66" s="127" t="s">
        <v>854</v>
      </c>
      <c r="AE66" s="1253"/>
      <c r="AF66" s="1254"/>
      <c r="AG66" s="1254"/>
      <c r="AH66" s="1254"/>
      <c r="AI66" s="1254"/>
      <c r="AJ66" s="1254"/>
      <c r="AK66" s="1254"/>
      <c r="AL66" s="1228"/>
    </row>
    <row r="67" spans="1:38" ht="12.95" customHeight="1">
      <c r="B67" s="1287"/>
      <c r="C67" s="152"/>
      <c r="D67" s="145"/>
      <c r="E67" s="148" t="s">
        <v>765</v>
      </c>
      <c r="F67" s="138" t="s">
        <v>949</v>
      </c>
      <c r="G67" s="90"/>
      <c r="H67" s="90"/>
      <c r="I67" s="90"/>
      <c r="J67" s="90"/>
      <c r="K67" s="90"/>
      <c r="L67" s="90"/>
      <c r="M67" s="90"/>
      <c r="N67" s="90"/>
      <c r="O67" s="90"/>
      <c r="P67" s="90"/>
      <c r="Q67" s="90"/>
      <c r="R67" s="90"/>
      <c r="S67" s="90"/>
      <c r="T67" s="90"/>
      <c r="U67" s="90"/>
      <c r="V67" s="139"/>
      <c r="W67" s="90"/>
      <c r="X67" s="90"/>
      <c r="Y67" s="90"/>
      <c r="Z67" s="90"/>
      <c r="AA67" s="90"/>
      <c r="AB67" s="90"/>
      <c r="AC67" s="90"/>
      <c r="AD67" s="89"/>
      <c r="AE67" s="145" t="s">
        <v>931</v>
      </c>
      <c r="AF67" s="110"/>
      <c r="AG67" s="1158">
        <v>0</v>
      </c>
      <c r="AH67" s="1158"/>
      <c r="AI67" s="1158"/>
      <c r="AJ67" s="1158"/>
      <c r="AK67" s="1158"/>
      <c r="AL67" s="126" t="s">
        <v>854</v>
      </c>
    </row>
    <row r="68" spans="1:38" ht="12.95" customHeight="1">
      <c r="B68" s="1287"/>
      <c r="C68" s="152"/>
      <c r="D68" s="148" t="s">
        <v>615</v>
      </c>
      <c r="E68" s="154" t="s">
        <v>950</v>
      </c>
      <c r="F68" s="136"/>
      <c r="V68" s="137"/>
      <c r="AE68" s="1249"/>
      <c r="AF68" s="1250"/>
      <c r="AG68" s="1250"/>
      <c r="AH68" s="1250"/>
      <c r="AI68" s="1250"/>
      <c r="AJ68" s="1250"/>
      <c r="AK68" s="1250"/>
      <c r="AL68" s="1226"/>
    </row>
    <row r="69" spans="1:38" ht="12.95" customHeight="1">
      <c r="B69" s="1287"/>
      <c r="C69" s="152"/>
      <c r="D69" s="143"/>
      <c r="E69" s="148" t="s">
        <v>749</v>
      </c>
      <c r="F69" s="138" t="s">
        <v>951</v>
      </c>
      <c r="G69" s="90"/>
      <c r="H69" s="90"/>
      <c r="I69" s="90"/>
      <c r="J69" s="90"/>
      <c r="K69" s="90"/>
      <c r="L69" s="90"/>
      <c r="M69" s="90"/>
      <c r="N69" s="90"/>
      <c r="O69" s="90"/>
      <c r="P69" s="90"/>
      <c r="Q69" s="90"/>
      <c r="R69" s="90"/>
      <c r="S69" s="90"/>
      <c r="T69" s="90"/>
      <c r="U69" s="90"/>
      <c r="V69" s="148" t="s">
        <v>792</v>
      </c>
      <c r="W69" s="90"/>
      <c r="X69" s="1156"/>
      <c r="Y69" s="1156"/>
      <c r="Z69" s="1156"/>
      <c r="AA69" s="1156"/>
      <c r="AB69" s="1156"/>
      <c r="AC69" s="90"/>
      <c r="AD69" s="127" t="s">
        <v>854</v>
      </c>
      <c r="AE69" s="1251"/>
      <c r="AF69" s="1252"/>
      <c r="AG69" s="1252"/>
      <c r="AH69" s="1252"/>
      <c r="AI69" s="1252"/>
      <c r="AJ69" s="1252"/>
      <c r="AK69" s="1252"/>
      <c r="AL69" s="1227"/>
    </row>
    <row r="70" spans="1:38" ht="12.95" customHeight="1">
      <c r="B70" s="106"/>
      <c r="C70" s="1218"/>
      <c r="D70" s="1218"/>
      <c r="E70" s="145" t="s">
        <v>764</v>
      </c>
      <c r="F70" s="202" t="s">
        <v>603</v>
      </c>
      <c r="V70" s="153" t="s">
        <v>793</v>
      </c>
      <c r="X70" s="1248"/>
      <c r="Y70" s="1248"/>
      <c r="Z70" s="1248"/>
      <c r="AA70" s="1248"/>
      <c r="AB70" s="1248"/>
      <c r="AD70" s="134" t="s">
        <v>854</v>
      </c>
      <c r="AE70" s="1251"/>
      <c r="AF70" s="1252"/>
      <c r="AG70" s="1252"/>
      <c r="AH70" s="1252"/>
      <c r="AI70" s="1252"/>
      <c r="AJ70" s="1252"/>
      <c r="AK70" s="1252"/>
      <c r="AL70" s="1227"/>
    </row>
    <row r="71" spans="1:38" ht="12.95" customHeight="1">
      <c r="B71" s="106"/>
      <c r="C71" s="1218"/>
      <c r="D71" s="1218"/>
      <c r="E71" s="148" t="s">
        <v>765</v>
      </c>
      <c r="F71" s="138" t="s">
        <v>952</v>
      </c>
      <c r="G71" s="90"/>
      <c r="H71" s="90"/>
      <c r="I71" s="90"/>
      <c r="J71" s="90"/>
      <c r="K71" s="90"/>
      <c r="L71" s="90"/>
      <c r="M71" s="90"/>
      <c r="N71" s="90"/>
      <c r="O71" s="90"/>
      <c r="P71" s="90"/>
      <c r="Q71" s="90"/>
      <c r="R71" s="90"/>
      <c r="S71" s="90"/>
      <c r="T71" s="90"/>
      <c r="U71" s="89"/>
      <c r="V71" s="148" t="s">
        <v>798</v>
      </c>
      <c r="W71" s="90"/>
      <c r="X71" s="1155"/>
      <c r="Y71" s="1155"/>
      <c r="Z71" s="1155"/>
      <c r="AA71" s="1155"/>
      <c r="AB71" s="1155"/>
      <c r="AC71" s="90"/>
      <c r="AD71" s="127" t="s">
        <v>854</v>
      </c>
      <c r="AE71" s="1253"/>
      <c r="AF71" s="1254"/>
      <c r="AG71" s="1254"/>
      <c r="AH71" s="1254"/>
      <c r="AI71" s="1254"/>
      <c r="AJ71" s="1254"/>
      <c r="AK71" s="1254"/>
      <c r="AL71" s="1228"/>
    </row>
    <row r="72" spans="1:38" ht="12.95" customHeight="1">
      <c r="B72" s="106"/>
      <c r="C72" s="1218"/>
      <c r="D72" s="1219"/>
      <c r="E72" s="148" t="s">
        <v>766</v>
      </c>
      <c r="F72" s="138" t="s">
        <v>953</v>
      </c>
      <c r="G72" s="90"/>
      <c r="H72" s="90"/>
      <c r="I72" s="90"/>
      <c r="J72" s="90"/>
      <c r="K72" s="90"/>
      <c r="L72" s="90"/>
      <c r="M72" s="90"/>
      <c r="N72" s="90"/>
      <c r="O72" s="90"/>
      <c r="P72" s="90"/>
      <c r="Q72" s="90"/>
      <c r="R72" s="90"/>
      <c r="S72" s="90"/>
      <c r="T72" s="90"/>
      <c r="U72" s="90"/>
      <c r="V72" s="139"/>
      <c r="W72" s="90"/>
      <c r="X72" s="90"/>
      <c r="Y72" s="90"/>
      <c r="Z72" s="90"/>
      <c r="AA72" s="90"/>
      <c r="AB72" s="90"/>
      <c r="AC72" s="90"/>
      <c r="AD72" s="89"/>
      <c r="AE72" s="145" t="s">
        <v>794</v>
      </c>
      <c r="AG72" s="1156">
        <v>0</v>
      </c>
      <c r="AH72" s="1156"/>
      <c r="AI72" s="1156"/>
      <c r="AJ72" s="1156"/>
      <c r="AK72" s="1156"/>
      <c r="AL72" s="126" t="s">
        <v>854</v>
      </c>
    </row>
    <row r="73" spans="1:38" ht="12.95" customHeight="1">
      <c r="B73" s="106"/>
      <c r="C73" s="1219"/>
      <c r="D73" s="148" t="s">
        <v>617</v>
      </c>
      <c r="E73" s="138" t="s">
        <v>954</v>
      </c>
      <c r="F73" s="150"/>
      <c r="G73" s="90"/>
      <c r="H73" s="90"/>
      <c r="I73" s="90"/>
      <c r="J73" s="90"/>
      <c r="K73" s="90"/>
      <c r="L73" s="90"/>
      <c r="M73" s="90"/>
      <c r="N73" s="90"/>
      <c r="O73" s="90"/>
      <c r="P73" s="90"/>
      <c r="Q73" s="90"/>
      <c r="R73" s="90"/>
      <c r="S73" s="90"/>
      <c r="T73" s="90"/>
      <c r="U73" s="90"/>
      <c r="V73" s="139"/>
      <c r="W73" s="90"/>
      <c r="X73" s="90"/>
      <c r="Y73" s="90"/>
      <c r="Z73" s="90"/>
      <c r="AA73" s="90"/>
      <c r="AB73" s="90"/>
      <c r="AC73" s="90"/>
      <c r="AD73" s="89"/>
      <c r="AE73" s="143" t="s">
        <v>795</v>
      </c>
      <c r="AF73" s="120"/>
      <c r="AG73" s="1156">
        <v>0</v>
      </c>
      <c r="AH73" s="1156"/>
      <c r="AI73" s="1156"/>
      <c r="AJ73" s="1156"/>
      <c r="AK73" s="1156"/>
      <c r="AL73" s="126" t="s">
        <v>854</v>
      </c>
    </row>
    <row r="74" spans="1:38" ht="14.25" customHeight="1">
      <c r="B74" s="106"/>
      <c r="C74" s="148">
        <v>3</v>
      </c>
      <c r="D74" s="138" t="s">
        <v>955</v>
      </c>
      <c r="E74" s="136"/>
      <c r="F74" s="136"/>
      <c r="V74" s="137"/>
      <c r="AE74" s="1249"/>
      <c r="AF74" s="1250"/>
      <c r="AG74" s="1250"/>
      <c r="AH74" s="1250"/>
      <c r="AI74" s="1250"/>
      <c r="AJ74" s="1250"/>
      <c r="AK74" s="1250"/>
      <c r="AL74" s="1226"/>
    </row>
    <row r="75" spans="1:38" ht="13.5" customHeight="1">
      <c r="B75" s="229"/>
      <c r="C75" s="148"/>
      <c r="D75" s="148" t="s">
        <v>613</v>
      </c>
      <c r="E75" s="138" t="s">
        <v>956</v>
      </c>
      <c r="F75" s="150"/>
      <c r="G75" s="90"/>
      <c r="H75" s="90"/>
      <c r="I75" s="90"/>
      <c r="J75" s="90"/>
      <c r="K75" s="90"/>
      <c r="L75" s="90"/>
      <c r="M75" s="90"/>
      <c r="N75" s="90"/>
      <c r="O75" s="90"/>
      <c r="P75" s="90"/>
      <c r="Q75" s="90"/>
      <c r="R75" s="90"/>
      <c r="S75" s="90"/>
      <c r="T75" s="90"/>
      <c r="U75" s="90"/>
      <c r="V75" s="139"/>
      <c r="W75" s="90"/>
      <c r="X75" s="90"/>
      <c r="Y75" s="90"/>
      <c r="Z75" s="90"/>
      <c r="AA75" s="90"/>
      <c r="AB75" s="90"/>
      <c r="AC75" s="90"/>
      <c r="AD75" s="89"/>
      <c r="AE75" s="1253"/>
      <c r="AF75" s="1254"/>
      <c r="AG75" s="1254"/>
      <c r="AH75" s="1254"/>
      <c r="AI75" s="1254"/>
      <c r="AJ75" s="1254"/>
      <c r="AK75" s="1254"/>
      <c r="AL75" s="1228"/>
    </row>
    <row r="76" spans="1:38" ht="18" customHeight="1">
      <c r="A76" s="1160"/>
      <c r="B76" s="1160"/>
      <c r="C76" s="1160"/>
      <c r="D76" s="1160"/>
      <c r="E76" s="1160"/>
      <c r="F76" s="1160"/>
      <c r="G76" s="1160"/>
      <c r="H76" s="1160"/>
      <c r="I76" s="1160"/>
      <c r="J76" s="1160"/>
      <c r="K76" s="1160"/>
      <c r="L76" s="1160"/>
      <c r="M76" s="1160"/>
      <c r="N76" s="1160"/>
      <c r="O76" s="1160"/>
      <c r="P76" s="1160"/>
      <c r="Q76" s="1160"/>
      <c r="R76" s="1160"/>
      <c r="S76" s="1160"/>
      <c r="T76" s="1160"/>
      <c r="U76" s="1160"/>
      <c r="V76" s="1160"/>
      <c r="W76" s="1160"/>
      <c r="X76" s="1160"/>
      <c r="Y76" s="1160"/>
      <c r="Z76" s="1160"/>
      <c r="AA76" s="1160"/>
      <c r="AB76" s="1160"/>
      <c r="AC76" s="82"/>
      <c r="AD76" s="82"/>
      <c r="AE76" s="251" t="s">
        <v>492</v>
      </c>
      <c r="AF76" s="1290" t="s">
        <v>907</v>
      </c>
      <c r="AG76" s="1290"/>
      <c r="AH76" s="1290"/>
      <c r="AI76" s="1290"/>
      <c r="AJ76" s="252" t="s">
        <v>841</v>
      </c>
      <c r="AK76" s="248"/>
      <c r="AL76" s="250">
        <v>9.06</v>
      </c>
    </row>
    <row r="77" spans="1:38">
      <c r="B77" s="95"/>
      <c r="C77" s="204"/>
      <c r="D77" s="204"/>
      <c r="E77" s="80"/>
      <c r="F77" s="80"/>
      <c r="G77" s="80"/>
      <c r="H77" s="80"/>
      <c r="I77" s="80"/>
      <c r="J77" s="80"/>
      <c r="K77" s="80"/>
      <c r="L77" s="80"/>
      <c r="M77" s="80"/>
      <c r="N77" s="80"/>
      <c r="O77" s="80"/>
      <c r="P77" s="80"/>
      <c r="Q77" s="80"/>
      <c r="R77" s="80"/>
      <c r="S77" s="80"/>
      <c r="T77" s="80"/>
      <c r="U77" s="80"/>
      <c r="V77" s="204"/>
      <c r="W77" s="80"/>
      <c r="X77" s="80"/>
      <c r="Y77" s="80"/>
      <c r="Z77" s="80"/>
      <c r="AA77" s="80"/>
      <c r="AB77" s="80"/>
      <c r="AC77" s="80"/>
      <c r="AD77" s="80"/>
      <c r="AE77" s="204"/>
      <c r="AF77" s="204"/>
      <c r="AG77" s="204"/>
      <c r="AH77" s="204"/>
      <c r="AI77" s="204"/>
      <c r="AJ77" s="204"/>
      <c r="AK77" s="204"/>
      <c r="AL77" s="204"/>
    </row>
    <row r="78" spans="1:38" ht="12.95" customHeight="1">
      <c r="B78" s="1286"/>
      <c r="C78" s="1217"/>
      <c r="D78" s="1217"/>
      <c r="E78" s="145" t="s">
        <v>749</v>
      </c>
      <c r="F78" s="202" t="s">
        <v>957</v>
      </c>
      <c r="V78" s="204"/>
      <c r="AE78" s="1249"/>
      <c r="AF78" s="1250"/>
      <c r="AG78" s="1250"/>
      <c r="AH78" s="1250"/>
      <c r="AI78" s="1250"/>
      <c r="AJ78" s="1250"/>
      <c r="AK78" s="1250"/>
      <c r="AL78" s="1226"/>
    </row>
    <row r="79" spans="1:38" ht="12.95" customHeight="1">
      <c r="B79" s="1287"/>
      <c r="C79" s="1218"/>
      <c r="D79" s="1218"/>
      <c r="E79" s="1217"/>
      <c r="F79" s="157" t="s">
        <v>791</v>
      </c>
      <c r="G79" s="155" t="s">
        <v>959</v>
      </c>
      <c r="H79" s="90"/>
      <c r="I79" s="90"/>
      <c r="J79" s="90"/>
      <c r="K79" s="90"/>
      <c r="L79" s="90"/>
      <c r="M79" s="90"/>
      <c r="N79" s="90"/>
      <c r="O79" s="90"/>
      <c r="P79" s="90"/>
      <c r="Q79" s="90"/>
      <c r="R79" s="90"/>
      <c r="S79" s="90"/>
      <c r="T79" s="90"/>
      <c r="U79" s="89"/>
      <c r="V79" s="157" t="s">
        <v>960</v>
      </c>
      <c r="W79" s="90"/>
      <c r="X79" s="1156"/>
      <c r="Y79" s="1156"/>
      <c r="Z79" s="1156"/>
      <c r="AA79" s="1156"/>
      <c r="AB79" s="1156"/>
      <c r="AC79" s="90"/>
      <c r="AD79" s="127" t="s">
        <v>854</v>
      </c>
      <c r="AE79" s="1251"/>
      <c r="AF79" s="1252"/>
      <c r="AG79" s="1252"/>
      <c r="AH79" s="1252"/>
      <c r="AI79" s="1252"/>
      <c r="AJ79" s="1252"/>
      <c r="AK79" s="1252"/>
      <c r="AL79" s="1227"/>
    </row>
    <row r="80" spans="1:38" ht="12.95" customHeight="1">
      <c r="B80" s="1287"/>
      <c r="C80" s="1218"/>
      <c r="D80" s="1218"/>
      <c r="E80" s="1218"/>
      <c r="F80" s="148" t="s">
        <v>797</v>
      </c>
      <c r="G80" s="140" t="s">
        <v>961</v>
      </c>
      <c r="H80" s="90"/>
      <c r="I80" s="90"/>
      <c r="J80" s="90"/>
      <c r="K80" s="90"/>
      <c r="L80" s="90"/>
      <c r="M80" s="90"/>
      <c r="N80" s="90"/>
      <c r="O80" s="90"/>
      <c r="P80" s="90"/>
      <c r="Q80" s="90"/>
      <c r="R80" s="90"/>
      <c r="S80" s="90"/>
      <c r="T80" s="90"/>
      <c r="U80" s="89"/>
      <c r="V80" s="148" t="s">
        <v>962</v>
      </c>
      <c r="X80" s="1248"/>
      <c r="Y80" s="1248"/>
      <c r="Z80" s="1248"/>
      <c r="AA80" s="1248"/>
      <c r="AB80" s="1248"/>
      <c r="AD80" s="134" t="s">
        <v>854</v>
      </c>
      <c r="AE80" s="1251"/>
      <c r="AF80" s="1252"/>
      <c r="AG80" s="1252"/>
      <c r="AH80" s="1252"/>
      <c r="AI80" s="1252"/>
      <c r="AJ80" s="1252"/>
      <c r="AK80" s="1252"/>
      <c r="AL80" s="1227"/>
    </row>
    <row r="81" spans="2:38" ht="12.95" customHeight="1">
      <c r="B81" s="1287"/>
      <c r="C81" s="1218"/>
      <c r="D81" s="1218"/>
      <c r="E81" s="1218"/>
      <c r="F81" s="148" t="s">
        <v>800</v>
      </c>
      <c r="G81" s="140" t="s">
        <v>963</v>
      </c>
      <c r="H81" s="90"/>
      <c r="I81" s="90"/>
      <c r="J81" s="90"/>
      <c r="K81" s="90"/>
      <c r="L81" s="90"/>
      <c r="M81" s="90"/>
      <c r="N81" s="90"/>
      <c r="O81" s="90"/>
      <c r="P81" s="90"/>
      <c r="Q81" s="90"/>
      <c r="R81" s="90"/>
      <c r="S81" s="90"/>
      <c r="T81" s="90"/>
      <c r="U81" s="89"/>
      <c r="V81" s="143" t="s">
        <v>964</v>
      </c>
      <c r="W81" s="90"/>
      <c r="X81" s="1155"/>
      <c r="Y81" s="1155"/>
      <c r="Z81" s="1155"/>
      <c r="AA81" s="1155"/>
      <c r="AB81" s="1155"/>
      <c r="AC81" s="90"/>
      <c r="AD81" s="127" t="s">
        <v>854</v>
      </c>
      <c r="AE81" s="1251"/>
      <c r="AF81" s="1252"/>
      <c r="AG81" s="1252"/>
      <c r="AH81" s="1252"/>
      <c r="AI81" s="1252"/>
      <c r="AJ81" s="1252"/>
      <c r="AK81" s="1252"/>
      <c r="AL81" s="1227"/>
    </row>
    <row r="82" spans="2:38" ht="12.95" customHeight="1">
      <c r="B82" s="1287"/>
      <c r="C82" s="1218"/>
      <c r="D82" s="1218"/>
      <c r="E82" s="1218"/>
      <c r="F82" s="148" t="s">
        <v>801</v>
      </c>
      <c r="G82" s="272" t="s">
        <v>965</v>
      </c>
      <c r="H82" s="90"/>
      <c r="I82" s="90"/>
      <c r="J82" s="90"/>
      <c r="K82" s="90"/>
      <c r="L82" s="90"/>
      <c r="M82" s="90"/>
      <c r="N82" s="90"/>
      <c r="O82" s="90"/>
      <c r="P82" s="90"/>
      <c r="Q82" s="90"/>
      <c r="R82" s="90"/>
      <c r="S82" s="90"/>
      <c r="T82" s="90"/>
      <c r="U82" s="90"/>
      <c r="V82" s="148" t="s">
        <v>966</v>
      </c>
      <c r="W82" s="90"/>
      <c r="X82" s="1298"/>
      <c r="Y82" s="1298"/>
      <c r="Z82" s="1298"/>
      <c r="AA82" s="1298"/>
      <c r="AB82" s="1298"/>
      <c r="AC82" s="90"/>
      <c r="AD82" s="127" t="s">
        <v>854</v>
      </c>
      <c r="AE82" s="1253"/>
      <c r="AF82" s="1254"/>
      <c r="AG82" s="1254"/>
      <c r="AH82" s="1254"/>
      <c r="AI82" s="1254"/>
      <c r="AJ82" s="1254"/>
      <c r="AK82" s="1254"/>
      <c r="AL82" s="1228"/>
    </row>
    <row r="83" spans="2:38" ht="12.95" customHeight="1">
      <c r="B83" s="1287"/>
      <c r="C83" s="1218"/>
      <c r="D83" s="1218"/>
      <c r="E83" s="1219"/>
      <c r="F83" s="148" t="s">
        <v>967</v>
      </c>
      <c r="G83" s="140" t="s">
        <v>968</v>
      </c>
      <c r="H83" s="90"/>
      <c r="I83" s="90"/>
      <c r="J83" s="90"/>
      <c r="K83" s="90"/>
      <c r="L83" s="90"/>
      <c r="M83" s="90"/>
      <c r="N83" s="90"/>
      <c r="O83" s="90"/>
      <c r="P83" s="90"/>
      <c r="Q83" s="90"/>
      <c r="R83" s="90"/>
      <c r="S83" s="1202"/>
      <c r="T83" s="1202"/>
      <c r="U83" s="1202"/>
      <c r="V83" s="1202"/>
      <c r="W83" s="1202"/>
      <c r="X83" s="1202"/>
      <c r="Y83" s="1202"/>
      <c r="Z83" s="1202"/>
      <c r="AA83" s="1202"/>
      <c r="AB83" s="90"/>
      <c r="AC83" s="90"/>
      <c r="AD83" s="90"/>
      <c r="AE83" s="148" t="s">
        <v>969</v>
      </c>
      <c r="AF83" s="91"/>
      <c r="AG83" s="1261">
        <f>X82</f>
        <v>0</v>
      </c>
      <c r="AH83" s="1261"/>
      <c r="AI83" s="1261"/>
      <c r="AJ83" s="1261"/>
      <c r="AK83" s="1261"/>
      <c r="AL83" s="126" t="s">
        <v>854</v>
      </c>
    </row>
    <row r="84" spans="2:38" ht="12.95" customHeight="1">
      <c r="B84" s="1287"/>
      <c r="C84" s="1218"/>
      <c r="D84" s="1218"/>
      <c r="E84" s="148" t="s">
        <v>764</v>
      </c>
      <c r="F84" s="271" t="s">
        <v>970</v>
      </c>
      <c r="G84" s="150"/>
      <c r="H84" s="90"/>
      <c r="I84" s="90"/>
      <c r="J84" s="90"/>
      <c r="K84" s="90"/>
      <c r="L84" s="90"/>
      <c r="M84" s="90"/>
      <c r="N84" s="90"/>
      <c r="O84" s="90"/>
      <c r="P84" s="90"/>
      <c r="Q84" s="90"/>
      <c r="R84" s="90"/>
      <c r="S84" s="90"/>
      <c r="T84" s="90"/>
      <c r="U84" s="90"/>
      <c r="V84" s="139"/>
      <c r="W84" s="90"/>
      <c r="X84" s="90"/>
      <c r="Y84" s="90"/>
      <c r="Z84" s="90"/>
      <c r="AA84" s="90"/>
      <c r="AB84" s="90"/>
      <c r="AC84" s="90"/>
      <c r="AD84" s="90"/>
      <c r="AE84" s="148" t="s">
        <v>948</v>
      </c>
      <c r="AF84" s="91"/>
      <c r="AG84" s="1199"/>
      <c r="AH84" s="1199"/>
      <c r="AI84" s="1199"/>
      <c r="AJ84" s="1199"/>
      <c r="AK84" s="1199"/>
      <c r="AL84" s="126" t="s">
        <v>854</v>
      </c>
    </row>
    <row r="85" spans="2:38" ht="12.95" customHeight="1">
      <c r="B85" s="1287"/>
      <c r="C85" s="1218"/>
      <c r="D85" s="1218"/>
      <c r="E85" s="148" t="s">
        <v>765</v>
      </c>
      <c r="F85" s="138" t="s">
        <v>972</v>
      </c>
      <c r="G85" s="150"/>
      <c r="H85" s="90"/>
      <c r="I85" s="90"/>
      <c r="J85" s="90"/>
      <c r="K85" s="90"/>
      <c r="L85" s="90"/>
      <c r="M85" s="90"/>
      <c r="N85" s="90"/>
      <c r="O85" s="90"/>
      <c r="P85" s="90"/>
      <c r="Q85" s="90"/>
      <c r="R85" s="90"/>
      <c r="S85" s="90"/>
      <c r="T85" s="90"/>
      <c r="U85" s="90"/>
      <c r="V85" s="139"/>
      <c r="AE85" s="1249"/>
      <c r="AF85" s="1250"/>
      <c r="AG85" s="1250"/>
      <c r="AH85" s="1250"/>
      <c r="AI85" s="1250"/>
      <c r="AJ85" s="1250"/>
      <c r="AK85" s="1250"/>
      <c r="AL85" s="1226"/>
    </row>
    <row r="86" spans="2:38" ht="12.95" customHeight="1">
      <c r="B86" s="1287"/>
      <c r="C86" s="1218"/>
      <c r="D86" s="1218"/>
      <c r="E86" s="1217"/>
      <c r="F86" s="262" t="s">
        <v>791</v>
      </c>
      <c r="G86" s="273" t="s">
        <v>410</v>
      </c>
      <c r="H86" s="90"/>
      <c r="I86" s="90"/>
      <c r="J86" s="90"/>
      <c r="K86" s="90"/>
      <c r="L86" s="90"/>
      <c r="M86" s="90"/>
      <c r="N86" s="90"/>
      <c r="O86" s="90"/>
      <c r="P86" s="90"/>
      <c r="Q86" s="90"/>
      <c r="R86" s="90"/>
      <c r="S86" s="90"/>
      <c r="T86" s="90"/>
      <c r="U86" s="90"/>
      <c r="V86" s="148" t="s">
        <v>973</v>
      </c>
      <c r="W86" s="90"/>
      <c r="X86" s="1199"/>
      <c r="Y86" s="1199"/>
      <c r="Z86" s="1199"/>
      <c r="AA86" s="1199"/>
      <c r="AB86" s="1199"/>
      <c r="AC86" s="90"/>
      <c r="AD86" s="127" t="s">
        <v>854</v>
      </c>
      <c r="AE86" s="1251"/>
      <c r="AF86" s="1252"/>
      <c r="AG86" s="1252"/>
      <c r="AH86" s="1252"/>
      <c r="AI86" s="1252"/>
      <c r="AJ86" s="1252"/>
      <c r="AK86" s="1252"/>
      <c r="AL86" s="1227"/>
    </row>
    <row r="87" spans="2:38" ht="12.95" customHeight="1">
      <c r="B87" s="1287"/>
      <c r="C87" s="1218"/>
      <c r="D87" s="1218"/>
      <c r="E87" s="1218"/>
      <c r="F87" s="172" t="s">
        <v>797</v>
      </c>
      <c r="G87" s="274" t="s">
        <v>411</v>
      </c>
      <c r="V87" s="187" t="s">
        <v>974</v>
      </c>
      <c r="W87" s="82"/>
      <c r="X87" s="1289"/>
      <c r="Y87" s="1289"/>
      <c r="Z87" s="1289"/>
      <c r="AA87" s="1289"/>
      <c r="AB87" s="1289"/>
      <c r="AC87" s="82"/>
      <c r="AD87" s="201" t="s">
        <v>854</v>
      </c>
      <c r="AE87" s="1253"/>
      <c r="AF87" s="1254"/>
      <c r="AG87" s="1254"/>
      <c r="AH87" s="1254"/>
      <c r="AI87" s="1254"/>
      <c r="AJ87" s="1254"/>
      <c r="AK87" s="1254"/>
      <c r="AL87" s="1228"/>
    </row>
    <row r="88" spans="2:38" ht="12.95" customHeight="1">
      <c r="B88" s="1287"/>
      <c r="C88" s="1218"/>
      <c r="D88" s="1218"/>
      <c r="E88" s="1219"/>
      <c r="F88" s="148" t="s">
        <v>800</v>
      </c>
      <c r="G88" s="138" t="s">
        <v>975</v>
      </c>
      <c r="H88" s="90"/>
      <c r="I88" s="90"/>
      <c r="J88" s="90"/>
      <c r="K88" s="90"/>
      <c r="L88" s="90"/>
      <c r="M88" s="90"/>
      <c r="N88" s="90"/>
      <c r="O88" s="90"/>
      <c r="P88" s="90"/>
      <c r="Q88" s="90"/>
      <c r="R88" s="90"/>
      <c r="S88" s="90"/>
      <c r="T88" s="90"/>
      <c r="U88" s="90"/>
      <c r="V88" s="139"/>
      <c r="W88" s="90"/>
      <c r="X88" s="90"/>
      <c r="Y88" s="90"/>
      <c r="Z88" s="90"/>
      <c r="AA88" s="90"/>
      <c r="AB88" s="90"/>
      <c r="AC88" s="90"/>
      <c r="AD88" s="89"/>
      <c r="AE88" s="145" t="s">
        <v>976</v>
      </c>
      <c r="AF88" s="120"/>
      <c r="AG88" s="1261">
        <v>0</v>
      </c>
      <c r="AH88" s="1261"/>
      <c r="AI88" s="1261"/>
      <c r="AJ88" s="1261"/>
      <c r="AK88" s="1261"/>
      <c r="AL88" s="126" t="s">
        <v>854</v>
      </c>
    </row>
    <row r="89" spans="2:38" ht="12.95" customHeight="1">
      <c r="B89" s="1287"/>
      <c r="C89" s="1218"/>
      <c r="D89" s="1218"/>
      <c r="E89" s="148" t="s">
        <v>766</v>
      </c>
      <c r="F89" s="138" t="s">
        <v>977</v>
      </c>
      <c r="G89" s="90"/>
      <c r="H89" s="90"/>
      <c r="I89" s="90"/>
      <c r="J89" s="90"/>
      <c r="K89" s="90"/>
      <c r="L89" s="90"/>
      <c r="M89" s="90"/>
      <c r="N89" s="90"/>
      <c r="O89" s="90"/>
      <c r="P89" s="90"/>
      <c r="Q89" s="90"/>
      <c r="R89" s="90"/>
      <c r="S89" s="90"/>
      <c r="T89" s="90"/>
      <c r="U89" s="90"/>
      <c r="V89" s="139"/>
      <c r="W89" s="90"/>
      <c r="X89" s="90"/>
      <c r="Y89" s="90"/>
      <c r="Z89" s="90"/>
      <c r="AA89" s="90"/>
      <c r="AB89" s="90"/>
      <c r="AC89" s="90"/>
      <c r="AD89" s="90"/>
      <c r="AE89" s="148" t="s">
        <v>978</v>
      </c>
      <c r="AF89" s="91"/>
      <c r="AG89" s="1156"/>
      <c r="AH89" s="1156"/>
      <c r="AI89" s="1156"/>
      <c r="AJ89" s="1156"/>
      <c r="AK89" s="1156"/>
      <c r="AL89" s="126" t="s">
        <v>854</v>
      </c>
    </row>
    <row r="90" spans="2:38" ht="12.95" customHeight="1">
      <c r="B90" s="1287"/>
      <c r="C90" s="1218"/>
      <c r="D90" s="1219"/>
      <c r="E90" s="143" t="s">
        <v>802</v>
      </c>
      <c r="F90" s="202" t="s">
        <v>0</v>
      </c>
      <c r="V90" s="137"/>
      <c r="AE90" s="153" t="s">
        <v>1</v>
      </c>
      <c r="AG90" s="1261">
        <f>AG83+AG84+AG88</f>
        <v>0</v>
      </c>
      <c r="AH90" s="1261"/>
      <c r="AI90" s="1261"/>
      <c r="AJ90" s="1261"/>
      <c r="AK90" s="1261"/>
      <c r="AL90" s="126" t="s">
        <v>854</v>
      </c>
    </row>
    <row r="91" spans="2:38" ht="12.95" customHeight="1">
      <c r="B91" s="1287"/>
      <c r="C91" s="1218"/>
      <c r="D91" s="148" t="s">
        <v>615</v>
      </c>
      <c r="E91" s="138" t="s">
        <v>2</v>
      </c>
      <c r="F91" s="150"/>
      <c r="G91" s="90"/>
      <c r="H91" s="90"/>
      <c r="I91" s="90"/>
      <c r="J91" s="90"/>
      <c r="K91" s="90"/>
      <c r="L91" s="90"/>
      <c r="M91" s="90"/>
      <c r="N91" s="90"/>
      <c r="O91" s="90"/>
      <c r="P91" s="90"/>
      <c r="Q91" s="90"/>
      <c r="R91" s="90"/>
      <c r="S91" s="90"/>
      <c r="T91" s="90"/>
      <c r="U91" s="90"/>
      <c r="V91" s="139"/>
      <c r="W91" s="90"/>
      <c r="X91" s="90"/>
      <c r="Y91" s="90"/>
      <c r="Z91" s="90"/>
      <c r="AA91" s="90"/>
      <c r="AB91" s="90"/>
      <c r="AC91" s="90"/>
      <c r="AD91" s="89"/>
      <c r="AE91" s="1249"/>
      <c r="AF91" s="1250"/>
      <c r="AG91" s="1250"/>
      <c r="AH91" s="1250"/>
      <c r="AI91" s="1250"/>
      <c r="AJ91" s="1250"/>
      <c r="AK91" s="1250"/>
      <c r="AL91" s="1226"/>
    </row>
    <row r="92" spans="2:38" ht="12.95" customHeight="1">
      <c r="B92" s="1287"/>
      <c r="C92" s="1218"/>
      <c r="D92" s="1217"/>
      <c r="E92" s="185" t="s">
        <v>749</v>
      </c>
      <c r="F92" s="263" t="s">
        <v>3</v>
      </c>
      <c r="V92" s="185" t="s">
        <v>792</v>
      </c>
      <c r="W92" s="80"/>
      <c r="X92" s="1158"/>
      <c r="Y92" s="1158"/>
      <c r="Z92" s="1158"/>
      <c r="AA92" s="1158"/>
      <c r="AB92" s="1158"/>
      <c r="AC92" s="80"/>
      <c r="AD92" s="126" t="s">
        <v>854</v>
      </c>
      <c r="AE92" s="1251"/>
      <c r="AF92" s="1252"/>
      <c r="AG92" s="1252"/>
      <c r="AH92" s="1252"/>
      <c r="AI92" s="1252"/>
      <c r="AJ92" s="1252"/>
      <c r="AK92" s="1252"/>
      <c r="AL92" s="1227"/>
    </row>
    <row r="93" spans="2:38" ht="12.95" customHeight="1">
      <c r="B93" s="1287"/>
      <c r="C93" s="1218"/>
      <c r="D93" s="1218"/>
      <c r="E93" s="148" t="s">
        <v>764</v>
      </c>
      <c r="F93" s="138" t="s">
        <v>4</v>
      </c>
      <c r="G93" s="90"/>
      <c r="H93" s="90"/>
      <c r="I93" s="90"/>
      <c r="J93" s="90"/>
      <c r="K93" s="90"/>
      <c r="L93" s="90"/>
      <c r="M93" s="90"/>
      <c r="N93" s="90"/>
      <c r="O93" s="90"/>
      <c r="P93" s="90"/>
      <c r="Q93" s="90"/>
      <c r="R93" s="90"/>
      <c r="S93" s="90"/>
      <c r="T93" s="90"/>
      <c r="U93" s="89"/>
      <c r="V93" s="148" t="s">
        <v>793</v>
      </c>
      <c r="W93" s="90"/>
      <c r="X93" s="1262"/>
      <c r="Y93" s="1262"/>
      <c r="Z93" s="1262"/>
      <c r="AA93" s="1262"/>
      <c r="AB93" s="1262"/>
      <c r="AC93" s="90"/>
      <c r="AD93" s="127" t="s">
        <v>854</v>
      </c>
      <c r="AE93" s="1251"/>
      <c r="AF93" s="1252"/>
      <c r="AG93" s="1252"/>
      <c r="AH93" s="1252"/>
      <c r="AI93" s="1252"/>
      <c r="AJ93" s="1252"/>
      <c r="AK93" s="1252"/>
      <c r="AL93" s="1227"/>
    </row>
    <row r="94" spans="2:38" ht="12.95" customHeight="1">
      <c r="B94" s="1287"/>
      <c r="C94" s="1218"/>
      <c r="D94" s="1218"/>
      <c r="E94" s="148" t="s">
        <v>765</v>
      </c>
      <c r="F94" s="202" t="s">
        <v>5</v>
      </c>
      <c r="V94" s="143" t="s">
        <v>798</v>
      </c>
      <c r="W94" s="82"/>
      <c r="X94" s="1231"/>
      <c r="Y94" s="1231"/>
      <c r="Z94" s="1231"/>
      <c r="AA94" s="1231"/>
      <c r="AB94" s="1231"/>
      <c r="AC94" s="82"/>
      <c r="AD94" s="201" t="s">
        <v>854</v>
      </c>
      <c r="AE94" s="1253"/>
      <c r="AF94" s="1254"/>
      <c r="AG94" s="1254"/>
      <c r="AH94" s="1254"/>
      <c r="AI94" s="1254"/>
      <c r="AJ94" s="1254"/>
      <c r="AK94" s="1254"/>
      <c r="AL94" s="1228"/>
    </row>
    <row r="95" spans="2:38" ht="12.95" customHeight="1">
      <c r="B95" s="1287"/>
      <c r="C95" s="1218"/>
      <c r="D95" s="1219"/>
      <c r="E95" s="148" t="s">
        <v>766</v>
      </c>
      <c r="F95" s="138" t="s">
        <v>6</v>
      </c>
      <c r="G95" s="90"/>
      <c r="H95" s="90"/>
      <c r="I95" s="90"/>
      <c r="J95" s="90"/>
      <c r="K95" s="90"/>
      <c r="L95" s="90"/>
      <c r="M95" s="90"/>
      <c r="N95" s="90"/>
      <c r="O95" s="90"/>
      <c r="P95" s="90"/>
      <c r="Q95" s="90"/>
      <c r="R95" s="90"/>
      <c r="S95" s="90"/>
      <c r="T95" s="90"/>
      <c r="U95" s="90"/>
      <c r="V95" s="139"/>
      <c r="W95" s="90"/>
      <c r="X95" s="90"/>
      <c r="Y95" s="90"/>
      <c r="Z95" s="90"/>
      <c r="AA95" s="90"/>
      <c r="AB95" s="90"/>
      <c r="AC95" s="90"/>
      <c r="AD95" s="89"/>
      <c r="AE95" s="145" t="s">
        <v>794</v>
      </c>
      <c r="AF95" s="120"/>
      <c r="AG95" s="1262"/>
      <c r="AH95" s="1262"/>
      <c r="AI95" s="1262"/>
      <c r="AJ95" s="1262"/>
      <c r="AK95" s="1262"/>
      <c r="AL95" s="126" t="s">
        <v>854</v>
      </c>
    </row>
    <row r="96" spans="2:38" ht="12.95" customHeight="1">
      <c r="B96" s="1287"/>
      <c r="C96" s="1218"/>
      <c r="D96" s="148" t="s">
        <v>617</v>
      </c>
      <c r="E96" s="154" t="s">
        <v>544</v>
      </c>
      <c r="F96" s="136"/>
      <c r="V96" s="137"/>
      <c r="AE96" s="143" t="s">
        <v>773</v>
      </c>
      <c r="AF96" s="120"/>
      <c r="AG96" s="1261">
        <f>+AG95</f>
        <v>0</v>
      </c>
      <c r="AH96" s="1261"/>
      <c r="AI96" s="1261"/>
      <c r="AJ96" s="1261"/>
      <c r="AK96" s="1261"/>
      <c r="AL96" s="126" t="s">
        <v>854</v>
      </c>
    </row>
    <row r="97" spans="2:38" ht="12.95" customHeight="1">
      <c r="B97" s="1287"/>
      <c r="C97" s="1218"/>
      <c r="D97" s="148" t="s">
        <v>619</v>
      </c>
      <c r="E97" s="138" t="s">
        <v>7</v>
      </c>
      <c r="F97" s="150"/>
      <c r="G97" s="90"/>
      <c r="H97" s="90"/>
      <c r="I97" s="90"/>
      <c r="J97" s="90"/>
      <c r="K97" s="90"/>
      <c r="L97" s="90"/>
      <c r="M97" s="90"/>
      <c r="N97" s="90"/>
      <c r="O97" s="90"/>
      <c r="P97" s="90"/>
      <c r="Q97" s="90"/>
      <c r="R97" s="90"/>
      <c r="S97" s="90"/>
      <c r="T97" s="90"/>
      <c r="U97" s="90"/>
      <c r="V97" s="139"/>
      <c r="W97" s="90"/>
      <c r="X97" s="90"/>
      <c r="Y97" s="90"/>
      <c r="Z97" s="90"/>
      <c r="AA97" s="90"/>
      <c r="AB97" s="90"/>
      <c r="AC97" s="90"/>
      <c r="AD97" s="89"/>
      <c r="AE97" s="1249"/>
      <c r="AF97" s="1250"/>
      <c r="AG97" s="1250"/>
      <c r="AH97" s="1250"/>
      <c r="AI97" s="1250"/>
      <c r="AJ97" s="1250"/>
      <c r="AK97" s="1250"/>
      <c r="AL97" s="1226"/>
    </row>
    <row r="98" spans="2:38" ht="12.95" customHeight="1">
      <c r="B98" s="1287"/>
      <c r="C98" s="1218"/>
      <c r="D98" s="1217"/>
      <c r="E98" s="145" t="s">
        <v>749</v>
      </c>
      <c r="F98" s="202" t="s">
        <v>8</v>
      </c>
      <c r="V98" s="204"/>
      <c r="AE98" s="1253"/>
      <c r="AF98" s="1254"/>
      <c r="AG98" s="1254"/>
      <c r="AH98" s="1254"/>
      <c r="AI98" s="1254"/>
      <c r="AJ98" s="1254"/>
      <c r="AK98" s="1254"/>
      <c r="AL98" s="1228"/>
    </row>
    <row r="99" spans="2:38" ht="12.95" customHeight="1">
      <c r="B99" s="1287"/>
      <c r="C99" s="1218"/>
      <c r="D99" s="1218"/>
      <c r="E99" s="1217"/>
      <c r="F99" s="148" t="s">
        <v>791</v>
      </c>
      <c r="G99" s="272" t="s">
        <v>9</v>
      </c>
      <c r="H99" s="90"/>
      <c r="I99" s="90"/>
      <c r="J99" s="90"/>
      <c r="K99" s="90"/>
      <c r="L99" s="90"/>
      <c r="M99" s="90"/>
      <c r="N99" s="90"/>
      <c r="O99" s="90"/>
      <c r="P99" s="90"/>
      <c r="Q99" s="90"/>
      <c r="R99" s="90"/>
      <c r="S99" s="90"/>
      <c r="T99" s="90"/>
      <c r="U99" s="89"/>
      <c r="V99" s="148" t="s">
        <v>960</v>
      </c>
      <c r="W99" s="90"/>
      <c r="X99" s="1199"/>
      <c r="Y99" s="1199"/>
      <c r="Z99" s="1199"/>
      <c r="AA99" s="1199"/>
      <c r="AB99" s="1199"/>
      <c r="AC99" s="90"/>
      <c r="AD99" s="127" t="s">
        <v>854</v>
      </c>
      <c r="AE99" s="1249"/>
      <c r="AF99" s="1250"/>
      <c r="AG99" s="1250"/>
      <c r="AH99" s="1250"/>
      <c r="AI99" s="1250"/>
      <c r="AJ99" s="1250"/>
      <c r="AK99" s="1250"/>
      <c r="AL99" s="1226"/>
    </row>
    <row r="100" spans="2:38" ht="12.95" customHeight="1">
      <c r="B100" s="1287"/>
      <c r="C100" s="1218"/>
      <c r="D100" s="1218"/>
      <c r="E100" s="1218"/>
      <c r="F100" s="145" t="s">
        <v>797</v>
      </c>
      <c r="G100" s="152" t="s">
        <v>10</v>
      </c>
      <c r="V100" s="148" t="s">
        <v>962</v>
      </c>
      <c r="W100" s="90"/>
      <c r="X100" s="1156"/>
      <c r="Y100" s="1156"/>
      <c r="Z100" s="1156"/>
      <c r="AA100" s="1156"/>
      <c r="AB100" s="1156"/>
      <c r="AC100" s="90"/>
      <c r="AD100" s="127" t="s">
        <v>854</v>
      </c>
      <c r="AE100" s="1251"/>
      <c r="AF100" s="1252"/>
      <c r="AG100" s="1252"/>
      <c r="AH100" s="1252"/>
      <c r="AI100" s="1252"/>
      <c r="AJ100" s="1252"/>
      <c r="AK100" s="1252"/>
      <c r="AL100" s="1227"/>
    </row>
    <row r="101" spans="2:38" ht="12.95" customHeight="1">
      <c r="B101" s="1287"/>
      <c r="C101" s="1218"/>
      <c r="D101" s="1218"/>
      <c r="E101" s="1218"/>
      <c r="F101" s="148" t="s">
        <v>800</v>
      </c>
      <c r="G101" s="140" t="s">
        <v>11</v>
      </c>
      <c r="H101" s="90"/>
      <c r="I101" s="90"/>
      <c r="J101" s="90"/>
      <c r="K101" s="90"/>
      <c r="L101" s="90"/>
      <c r="M101" s="90"/>
      <c r="N101" s="90"/>
      <c r="O101" s="90"/>
      <c r="P101" s="90"/>
      <c r="Q101" s="90"/>
      <c r="R101" s="90"/>
      <c r="S101" s="90"/>
      <c r="T101" s="90"/>
      <c r="U101" s="89"/>
      <c r="V101" s="148" t="s">
        <v>964</v>
      </c>
      <c r="W101" s="90"/>
      <c r="X101" s="1156"/>
      <c r="Y101" s="1156"/>
      <c r="Z101" s="1156"/>
      <c r="AA101" s="1156"/>
      <c r="AB101" s="1156"/>
      <c r="AC101" s="90"/>
      <c r="AD101" s="127" t="s">
        <v>854</v>
      </c>
      <c r="AE101" s="1251"/>
      <c r="AF101" s="1252"/>
      <c r="AG101" s="1252"/>
      <c r="AH101" s="1252"/>
      <c r="AI101" s="1252"/>
      <c r="AJ101" s="1252"/>
      <c r="AK101" s="1252"/>
      <c r="AL101" s="1227"/>
    </row>
    <row r="102" spans="2:38" ht="12.95" customHeight="1">
      <c r="B102" s="1287"/>
      <c r="C102" s="1218"/>
      <c r="D102" s="1218"/>
      <c r="E102" s="1218"/>
      <c r="F102" s="148" t="s">
        <v>801</v>
      </c>
      <c r="G102" s="140" t="s">
        <v>12</v>
      </c>
      <c r="H102" s="90"/>
      <c r="I102" s="90"/>
      <c r="J102" s="90"/>
      <c r="K102" s="90"/>
      <c r="L102" s="90"/>
      <c r="M102" s="90"/>
      <c r="N102" s="90"/>
      <c r="O102" s="90"/>
      <c r="P102" s="90"/>
      <c r="Q102" s="90"/>
      <c r="R102" s="90"/>
      <c r="S102" s="90"/>
      <c r="T102" s="90"/>
      <c r="U102" s="89"/>
      <c r="V102" s="148" t="s">
        <v>966</v>
      </c>
      <c r="W102" s="90"/>
      <c r="X102" s="1156"/>
      <c r="Y102" s="1156"/>
      <c r="Z102" s="1156"/>
      <c r="AA102" s="1156"/>
      <c r="AB102" s="1156"/>
      <c r="AC102" s="90"/>
      <c r="AD102" s="127" t="s">
        <v>854</v>
      </c>
      <c r="AE102" s="1253"/>
      <c r="AF102" s="1254"/>
      <c r="AG102" s="1254"/>
      <c r="AH102" s="1254"/>
      <c r="AI102" s="1254"/>
      <c r="AJ102" s="1254"/>
      <c r="AK102" s="1254"/>
      <c r="AL102" s="1228"/>
    </row>
    <row r="103" spans="2:38" ht="12.95" customHeight="1">
      <c r="B103" s="1287"/>
      <c r="C103" s="1218"/>
      <c r="D103" s="1218"/>
      <c r="E103" s="1218"/>
      <c r="F103" s="143" t="s">
        <v>967</v>
      </c>
      <c r="G103" s="202" t="s">
        <v>968</v>
      </c>
      <c r="V103" s="203"/>
      <c r="AE103" s="148" t="s">
        <v>969</v>
      </c>
      <c r="AF103" s="91"/>
      <c r="AG103" s="1261">
        <f>+X99</f>
        <v>0</v>
      </c>
      <c r="AH103" s="1261"/>
      <c r="AI103" s="1261"/>
      <c r="AJ103" s="1261"/>
      <c r="AK103" s="1261"/>
      <c r="AL103" s="126" t="s">
        <v>854</v>
      </c>
    </row>
    <row r="104" spans="2:38" ht="12.95" customHeight="1">
      <c r="B104" s="1287"/>
      <c r="C104" s="1218"/>
      <c r="D104" s="1218"/>
      <c r="E104" s="148" t="s">
        <v>764</v>
      </c>
      <c r="F104" s="138" t="s">
        <v>13</v>
      </c>
      <c r="G104" s="150"/>
      <c r="H104" s="90"/>
      <c r="I104" s="90"/>
      <c r="J104" s="90"/>
      <c r="K104" s="90"/>
      <c r="L104" s="90"/>
      <c r="M104" s="90"/>
      <c r="N104" s="90"/>
      <c r="O104" s="90"/>
      <c r="P104" s="90"/>
      <c r="Q104" s="90"/>
      <c r="R104" s="90"/>
      <c r="S104" s="90"/>
      <c r="T104" s="90"/>
      <c r="U104" s="90"/>
      <c r="V104" s="139"/>
      <c r="W104" s="90"/>
      <c r="X104" s="90"/>
      <c r="Y104" s="90"/>
      <c r="Z104" s="90"/>
      <c r="AA104" s="90"/>
      <c r="AB104" s="90"/>
      <c r="AC104" s="90"/>
      <c r="AD104" s="89"/>
      <c r="AE104" s="168"/>
      <c r="AL104" s="84"/>
    </row>
    <row r="105" spans="2:38" ht="12.95" customHeight="1">
      <c r="B105" s="1287"/>
      <c r="C105" s="1218"/>
      <c r="D105" s="1218"/>
      <c r="E105" s="1218"/>
      <c r="F105" s="145" t="s">
        <v>791</v>
      </c>
      <c r="G105" s="152" t="s">
        <v>14</v>
      </c>
      <c r="V105" s="145" t="s">
        <v>925</v>
      </c>
      <c r="W105" s="80"/>
      <c r="X105" s="1158"/>
      <c r="Y105" s="1158"/>
      <c r="Z105" s="1158"/>
      <c r="AA105" s="1158"/>
      <c r="AB105" s="1158"/>
      <c r="AC105" s="80"/>
      <c r="AD105" s="126" t="s">
        <v>854</v>
      </c>
      <c r="AE105" s="169"/>
      <c r="AL105" s="84"/>
    </row>
    <row r="106" spans="2:38" ht="12.95" customHeight="1">
      <c r="B106" s="1287"/>
      <c r="C106" s="1218"/>
      <c r="D106" s="1218"/>
      <c r="E106" s="1218"/>
      <c r="F106" s="148" t="s">
        <v>797</v>
      </c>
      <c r="G106" s="140" t="s">
        <v>15</v>
      </c>
      <c r="H106" s="90"/>
      <c r="I106" s="90"/>
      <c r="J106" s="90"/>
      <c r="K106" s="90"/>
      <c r="L106" s="90"/>
      <c r="M106" s="90"/>
      <c r="N106" s="90"/>
      <c r="O106" s="90"/>
      <c r="P106" s="90"/>
      <c r="Q106" s="90"/>
      <c r="R106" s="90"/>
      <c r="S106" s="90"/>
      <c r="T106" s="90"/>
      <c r="U106" s="89"/>
      <c r="V106" s="148" t="s">
        <v>927</v>
      </c>
      <c r="W106" s="90"/>
      <c r="X106" s="1156"/>
      <c r="Y106" s="1156"/>
      <c r="Z106" s="1156"/>
      <c r="AA106" s="1156"/>
      <c r="AB106" s="1156"/>
      <c r="AC106" s="90"/>
      <c r="AD106" s="127" t="s">
        <v>854</v>
      </c>
      <c r="AE106" s="169"/>
      <c r="AL106" s="84"/>
    </row>
    <row r="107" spans="2:38" ht="12.95" customHeight="1">
      <c r="B107" s="1287"/>
      <c r="C107" s="1218"/>
      <c r="D107" s="1218"/>
      <c r="E107" s="1218"/>
      <c r="F107" s="157" t="s">
        <v>800</v>
      </c>
      <c r="G107" s="155" t="s">
        <v>16</v>
      </c>
      <c r="H107" s="90"/>
      <c r="I107" s="90"/>
      <c r="J107" s="90"/>
      <c r="K107" s="90"/>
      <c r="L107" s="90"/>
      <c r="M107" s="90"/>
      <c r="N107" s="90"/>
      <c r="O107" s="90"/>
      <c r="P107" s="90"/>
      <c r="Q107" s="90"/>
      <c r="R107" s="90"/>
      <c r="S107" s="90"/>
      <c r="T107" s="90"/>
      <c r="U107" s="89"/>
      <c r="V107" s="157" t="s">
        <v>929</v>
      </c>
      <c r="W107" s="90"/>
      <c r="X107" s="1156"/>
      <c r="Y107" s="1156"/>
      <c r="Z107" s="1156"/>
      <c r="AA107" s="1156"/>
      <c r="AB107" s="1156"/>
      <c r="AC107" s="90"/>
      <c r="AD107" s="127" t="s">
        <v>854</v>
      </c>
      <c r="AE107" s="169"/>
      <c r="AL107" s="84"/>
    </row>
    <row r="108" spans="2:38" ht="12.95" customHeight="1">
      <c r="B108" s="1287"/>
      <c r="C108" s="1218"/>
      <c r="D108" s="1218"/>
      <c r="E108" s="1218"/>
      <c r="F108" s="148" t="s">
        <v>801</v>
      </c>
      <c r="G108" s="152" t="s">
        <v>17</v>
      </c>
      <c r="V108" s="143" t="s">
        <v>18</v>
      </c>
      <c r="X108" s="1156"/>
      <c r="Y108" s="1156"/>
      <c r="Z108" s="1156"/>
      <c r="AA108" s="1156"/>
      <c r="AB108" s="1156"/>
      <c r="AD108" s="127" t="s">
        <v>854</v>
      </c>
      <c r="AE108" s="170"/>
      <c r="AL108" s="84"/>
    </row>
    <row r="109" spans="2:38" ht="12.95" customHeight="1">
      <c r="B109" s="1287"/>
      <c r="C109" s="1218"/>
      <c r="D109" s="1218"/>
      <c r="E109" s="1218"/>
      <c r="F109" s="143" t="s">
        <v>967</v>
      </c>
      <c r="G109" s="138" t="s">
        <v>19</v>
      </c>
      <c r="H109" s="90"/>
      <c r="I109" s="90"/>
      <c r="J109" s="90"/>
      <c r="K109" s="90"/>
      <c r="L109" s="90"/>
      <c r="M109" s="90"/>
      <c r="N109" s="90"/>
      <c r="O109" s="90"/>
      <c r="P109" s="90"/>
      <c r="Q109" s="90"/>
      <c r="R109" s="90"/>
      <c r="S109" s="90"/>
      <c r="T109" s="90"/>
      <c r="U109" s="90"/>
      <c r="V109" s="139"/>
      <c r="W109" s="90"/>
      <c r="X109" s="90"/>
      <c r="Y109" s="90"/>
      <c r="Z109" s="90"/>
      <c r="AA109" s="90"/>
      <c r="AB109" s="90"/>
      <c r="AC109" s="90"/>
      <c r="AD109" s="89"/>
      <c r="AE109" s="148" t="s">
        <v>20</v>
      </c>
      <c r="AF109" s="120"/>
      <c r="AG109" s="1156">
        <v>0</v>
      </c>
      <c r="AH109" s="1156"/>
      <c r="AI109" s="1156"/>
      <c r="AJ109" s="1156"/>
      <c r="AK109" s="1156"/>
      <c r="AL109" s="127" t="s">
        <v>854</v>
      </c>
    </row>
    <row r="110" spans="2:38" ht="12.95" customHeight="1">
      <c r="B110" s="1287"/>
      <c r="C110" s="1218"/>
      <c r="D110" s="1219"/>
      <c r="E110" s="148" t="s">
        <v>971</v>
      </c>
      <c r="F110" s="138" t="s">
        <v>21</v>
      </c>
      <c r="G110" s="90"/>
      <c r="H110" s="90"/>
      <c r="I110" s="90"/>
      <c r="J110" s="90"/>
      <c r="K110" s="90"/>
      <c r="L110" s="90"/>
      <c r="M110" s="90"/>
      <c r="N110" s="90"/>
      <c r="O110" s="90"/>
      <c r="P110" s="90"/>
      <c r="Q110" s="90"/>
      <c r="R110" s="90"/>
      <c r="S110" s="90"/>
      <c r="T110" s="90"/>
      <c r="U110" s="90"/>
      <c r="V110" s="139"/>
      <c r="W110" s="90"/>
      <c r="X110" s="90"/>
      <c r="Y110" s="90"/>
      <c r="Z110" s="90"/>
      <c r="AA110" s="90"/>
      <c r="AB110" s="90"/>
      <c r="AC110" s="90"/>
      <c r="AD110" s="89"/>
      <c r="AE110" s="148" t="s">
        <v>22</v>
      </c>
      <c r="AF110" s="120"/>
      <c r="AG110" s="1261">
        <f>+AG103</f>
        <v>0</v>
      </c>
      <c r="AH110" s="1261"/>
      <c r="AI110" s="1261"/>
      <c r="AJ110" s="1261"/>
      <c r="AK110" s="1261"/>
      <c r="AL110" s="126" t="s">
        <v>854</v>
      </c>
    </row>
    <row r="111" spans="2:38" ht="12.95" customHeight="1">
      <c r="B111" s="1287"/>
      <c r="C111" s="1219"/>
      <c r="D111" s="148" t="s">
        <v>726</v>
      </c>
      <c r="E111" s="138" t="s">
        <v>23</v>
      </c>
      <c r="F111" s="150"/>
      <c r="G111" s="90"/>
      <c r="H111" s="90"/>
      <c r="I111" s="90"/>
      <c r="J111" s="90"/>
      <c r="K111" s="90"/>
      <c r="L111" s="90"/>
      <c r="M111" s="90"/>
      <c r="N111" s="90"/>
      <c r="O111" s="90"/>
      <c r="P111" s="90"/>
      <c r="Q111" s="90"/>
      <c r="R111" s="90"/>
      <c r="S111" s="90"/>
      <c r="T111" s="90"/>
      <c r="U111" s="90"/>
      <c r="V111" s="139"/>
      <c r="W111" s="90"/>
      <c r="X111" s="90"/>
      <c r="AE111" s="148" t="s">
        <v>823</v>
      </c>
      <c r="AF111" s="120"/>
      <c r="AG111" s="1156"/>
      <c r="AH111" s="1156"/>
      <c r="AI111" s="1156"/>
      <c r="AJ111" s="1156"/>
      <c r="AK111" s="1156"/>
      <c r="AL111" s="126" t="s">
        <v>854</v>
      </c>
    </row>
    <row r="112" spans="2:38" ht="12.95" customHeight="1">
      <c r="B112" s="1287"/>
      <c r="C112" s="148">
        <v>4</v>
      </c>
      <c r="D112" s="148" t="s">
        <v>613</v>
      </c>
      <c r="E112" s="202" t="s">
        <v>24</v>
      </c>
      <c r="F112" s="136"/>
      <c r="V112" s="153" t="s">
        <v>780</v>
      </c>
      <c r="W112" s="83"/>
      <c r="X112" s="1158"/>
      <c r="Y112" s="1156"/>
      <c r="Z112" s="1156"/>
      <c r="AA112" s="1156"/>
      <c r="AB112" s="1156"/>
      <c r="AC112" s="90"/>
      <c r="AD112" s="127" t="s">
        <v>854</v>
      </c>
      <c r="AE112" s="168"/>
      <c r="AL112" s="84"/>
    </row>
    <row r="113" spans="2:38" ht="12.95" customHeight="1">
      <c r="B113" s="1287"/>
      <c r="C113" s="1217"/>
      <c r="D113" s="148" t="s">
        <v>615</v>
      </c>
      <c r="E113" s="138" t="s">
        <v>25</v>
      </c>
      <c r="F113" s="150"/>
      <c r="G113" s="90"/>
      <c r="H113" s="90"/>
      <c r="I113" s="90"/>
      <c r="J113" s="90"/>
      <c r="K113" s="90"/>
      <c r="L113" s="90"/>
      <c r="M113" s="90"/>
      <c r="N113" s="90"/>
      <c r="O113" s="90"/>
      <c r="P113" s="90"/>
      <c r="Q113" s="90"/>
      <c r="R113" s="90"/>
      <c r="S113" s="90"/>
      <c r="T113" s="90"/>
      <c r="U113" s="90"/>
      <c r="V113" s="148" t="s">
        <v>781</v>
      </c>
      <c r="W113" s="96"/>
      <c r="X113" s="1156"/>
      <c r="Y113" s="1156"/>
      <c r="Z113" s="1156"/>
      <c r="AA113" s="1156"/>
      <c r="AB113" s="1156"/>
      <c r="AC113" s="90"/>
      <c r="AD113" s="127" t="s">
        <v>854</v>
      </c>
      <c r="AE113" s="169"/>
      <c r="AL113" s="84"/>
    </row>
    <row r="114" spans="2:38" ht="12.95" customHeight="1">
      <c r="B114" s="1287"/>
      <c r="C114" s="1218"/>
      <c r="D114" s="148" t="s">
        <v>617</v>
      </c>
      <c r="E114" s="138" t="s">
        <v>26</v>
      </c>
      <c r="F114" s="150"/>
      <c r="G114" s="90"/>
      <c r="H114" s="90"/>
      <c r="I114" s="90"/>
      <c r="J114" s="90"/>
      <c r="K114" s="90"/>
      <c r="L114" s="90"/>
      <c r="M114" s="90"/>
      <c r="N114" s="90"/>
      <c r="O114" s="90"/>
      <c r="P114" s="90"/>
      <c r="Q114" s="90"/>
      <c r="R114" s="90"/>
      <c r="S114" s="90"/>
      <c r="T114" s="90"/>
      <c r="U114" s="90"/>
      <c r="V114" s="148" t="s">
        <v>782</v>
      </c>
      <c r="W114" s="96"/>
      <c r="X114" s="1156"/>
      <c r="Y114" s="1156"/>
      <c r="Z114" s="1156"/>
      <c r="AA114" s="1156"/>
      <c r="AB114" s="1156"/>
      <c r="AC114" s="90"/>
      <c r="AD114" s="127" t="s">
        <v>854</v>
      </c>
      <c r="AE114" s="170"/>
      <c r="AL114" s="84"/>
    </row>
    <row r="115" spans="2:38" ht="12.95" customHeight="1">
      <c r="B115" s="1287"/>
      <c r="C115" s="1219"/>
      <c r="D115" s="143" t="s">
        <v>619</v>
      </c>
      <c r="E115" s="202" t="s">
        <v>27</v>
      </c>
      <c r="F115" s="136"/>
      <c r="V115" s="137"/>
      <c r="AE115" s="143" t="s">
        <v>28</v>
      </c>
      <c r="AF115" s="120"/>
      <c r="AG115" s="1156">
        <v>0</v>
      </c>
      <c r="AH115" s="1156"/>
      <c r="AI115" s="1156"/>
      <c r="AJ115" s="1156"/>
      <c r="AK115" s="1156"/>
      <c r="AL115" s="127" t="s">
        <v>854</v>
      </c>
    </row>
    <row r="116" spans="2:38" ht="12.95" customHeight="1">
      <c r="B116" s="229"/>
      <c r="C116" s="148">
        <v>5</v>
      </c>
      <c r="D116" s="138" t="s">
        <v>29</v>
      </c>
      <c r="E116" s="150"/>
      <c r="F116" s="150"/>
      <c r="G116" s="90"/>
      <c r="H116" s="90"/>
      <c r="I116" s="90"/>
      <c r="J116" s="90"/>
      <c r="K116" s="90"/>
      <c r="L116" s="90"/>
      <c r="M116" s="90"/>
      <c r="N116" s="90"/>
      <c r="O116" s="90"/>
      <c r="P116" s="90"/>
      <c r="Q116" s="90"/>
      <c r="R116" s="90"/>
      <c r="S116" s="90"/>
      <c r="T116" s="90"/>
      <c r="U116" s="90"/>
      <c r="V116" s="139"/>
      <c r="W116" s="90"/>
      <c r="X116" s="90"/>
      <c r="Y116" s="90"/>
      <c r="Z116" s="90"/>
      <c r="AA116" s="90"/>
      <c r="AB116" s="90"/>
      <c r="AC116" s="90"/>
      <c r="AD116" s="90"/>
      <c r="AE116" s="148">
        <v>5</v>
      </c>
      <c r="AF116" s="120"/>
      <c r="AG116" s="1261">
        <f>AG115+AG111+AG73+AG62</f>
        <v>0</v>
      </c>
      <c r="AH116" s="1261"/>
      <c r="AI116" s="1261"/>
      <c r="AJ116" s="1261"/>
      <c r="AK116" s="1261"/>
      <c r="AL116" s="126" t="s">
        <v>854</v>
      </c>
    </row>
    <row r="117" spans="2:38" ht="15.95" customHeight="1">
      <c r="B117" s="1283" t="s">
        <v>30</v>
      </c>
      <c r="C117" s="143">
        <v>6</v>
      </c>
      <c r="D117" s="163" t="s">
        <v>604</v>
      </c>
      <c r="E117" s="212"/>
      <c r="F117" s="212"/>
      <c r="G117" s="212"/>
      <c r="H117" s="212"/>
      <c r="I117" s="212"/>
      <c r="J117" s="212"/>
      <c r="K117" s="212"/>
      <c r="L117" s="212"/>
      <c r="M117" s="212"/>
      <c r="N117" s="212"/>
      <c r="O117" s="212"/>
      <c r="P117" s="212"/>
      <c r="Q117" s="212"/>
      <c r="R117" s="212"/>
      <c r="S117" s="212"/>
      <c r="T117" s="212"/>
      <c r="U117" s="212"/>
      <c r="V117" s="212"/>
      <c r="W117" s="212"/>
      <c r="X117" s="212"/>
      <c r="Y117" s="212"/>
      <c r="Z117" s="212"/>
      <c r="AA117" s="212"/>
      <c r="AB117" s="212"/>
      <c r="AC117" s="212"/>
      <c r="AD117" s="212"/>
      <c r="AE117" s="1271"/>
      <c r="AF117" s="1272"/>
      <c r="AG117" s="1272"/>
      <c r="AH117" s="1272"/>
      <c r="AI117" s="1272"/>
      <c r="AJ117" s="1272"/>
      <c r="AK117" s="1272"/>
      <c r="AL117" s="1273"/>
    </row>
    <row r="118" spans="2:38" ht="15.95" customHeight="1">
      <c r="B118" s="1284"/>
      <c r="C118" s="1218"/>
      <c r="D118" s="214" t="s">
        <v>605</v>
      </c>
      <c r="E118" s="188"/>
      <c r="F118" s="188"/>
      <c r="G118" s="188"/>
      <c r="H118" s="188"/>
      <c r="I118" s="188"/>
      <c r="J118" s="188"/>
      <c r="K118" s="188"/>
      <c r="L118" s="188"/>
      <c r="M118" s="188"/>
      <c r="N118" s="188"/>
      <c r="O118" s="188"/>
      <c r="P118" s="188"/>
      <c r="Q118" s="188"/>
      <c r="R118" s="188"/>
      <c r="S118" s="188"/>
      <c r="T118" s="188"/>
      <c r="U118" s="188"/>
      <c r="V118" s="188"/>
      <c r="W118" s="188"/>
      <c r="X118" s="188"/>
      <c r="Y118" s="188"/>
      <c r="Z118" s="188"/>
      <c r="AA118" s="188"/>
      <c r="AB118" s="188"/>
      <c r="AC118" s="188"/>
      <c r="AD118" s="215"/>
      <c r="AE118" s="1274"/>
      <c r="AF118" s="1274"/>
      <c r="AG118" s="1274"/>
      <c r="AH118" s="1274"/>
      <c r="AI118" s="1274"/>
      <c r="AJ118" s="1274"/>
      <c r="AK118" s="1274"/>
      <c r="AL118" s="1275"/>
    </row>
    <row r="119" spans="2:38" ht="15.95" customHeight="1">
      <c r="B119" s="1284"/>
      <c r="C119" s="1218"/>
      <c r="D119" s="213" t="s">
        <v>613</v>
      </c>
      <c r="E119" s="156" t="s">
        <v>31</v>
      </c>
      <c r="F119" s="171"/>
      <c r="G119" s="80"/>
      <c r="H119" s="80"/>
      <c r="I119" s="80"/>
      <c r="J119" s="80"/>
      <c r="K119" s="80"/>
      <c r="L119" s="80"/>
      <c r="M119" s="80"/>
      <c r="N119" s="80"/>
      <c r="O119" s="80"/>
      <c r="P119" s="80"/>
      <c r="Q119" s="80"/>
      <c r="R119" s="80"/>
      <c r="S119" s="80"/>
      <c r="T119" s="80"/>
      <c r="U119" s="80"/>
      <c r="V119" s="204"/>
      <c r="W119" s="80"/>
      <c r="X119" s="80"/>
      <c r="Y119" s="80"/>
      <c r="Z119" s="80"/>
      <c r="AA119" s="80"/>
      <c r="AB119" s="80"/>
      <c r="AC119" s="80"/>
      <c r="AD119" s="87"/>
      <c r="AE119" s="148" t="s">
        <v>32</v>
      </c>
      <c r="AF119" s="120"/>
      <c r="AG119" s="1199"/>
      <c r="AH119" s="1199"/>
      <c r="AI119" s="1199"/>
      <c r="AJ119" s="1199"/>
      <c r="AK119" s="1199"/>
      <c r="AL119" s="127" t="s">
        <v>854</v>
      </c>
    </row>
    <row r="120" spans="2:38" ht="15.95" customHeight="1">
      <c r="B120" s="1284"/>
      <c r="C120" s="1218"/>
      <c r="D120" s="151" t="s">
        <v>615</v>
      </c>
      <c r="E120" s="138" t="s">
        <v>33</v>
      </c>
      <c r="F120" s="150"/>
      <c r="G120" s="90"/>
      <c r="H120" s="90"/>
      <c r="I120" s="90"/>
      <c r="J120" s="90"/>
      <c r="K120" s="90"/>
      <c r="L120" s="90"/>
      <c r="M120" s="90"/>
      <c r="N120" s="90"/>
      <c r="O120" s="90"/>
      <c r="P120" s="90"/>
      <c r="Q120" s="90"/>
      <c r="R120" s="90"/>
      <c r="S120" s="90"/>
      <c r="T120" s="90"/>
      <c r="U120" s="90"/>
      <c r="V120" s="139"/>
      <c r="W120" s="90"/>
      <c r="X120" s="90"/>
      <c r="Y120" s="90"/>
      <c r="Z120" s="90"/>
      <c r="AA120" s="90"/>
      <c r="AB120" s="90"/>
      <c r="AC120" s="90"/>
      <c r="AD120" s="89"/>
      <c r="AE120" s="148" t="s">
        <v>34</v>
      </c>
      <c r="AF120" s="120"/>
      <c r="AG120" s="1199"/>
      <c r="AH120" s="1199"/>
      <c r="AI120" s="1199"/>
      <c r="AJ120" s="1199"/>
      <c r="AK120" s="1199"/>
      <c r="AL120" s="127" t="s">
        <v>854</v>
      </c>
    </row>
    <row r="121" spans="2:38" ht="15.95" customHeight="1">
      <c r="B121" s="1284"/>
      <c r="C121" s="1218"/>
      <c r="D121" s="151" t="s">
        <v>617</v>
      </c>
      <c r="E121" s="138" t="s">
        <v>35</v>
      </c>
      <c r="F121" s="150"/>
      <c r="G121" s="90"/>
      <c r="H121" s="90"/>
      <c r="I121" s="90"/>
      <c r="J121" s="90"/>
      <c r="K121" s="90"/>
      <c r="L121" s="90"/>
      <c r="M121" s="90"/>
      <c r="N121" s="90"/>
      <c r="O121" s="90"/>
      <c r="P121" s="90"/>
      <c r="Q121" s="90"/>
      <c r="R121" s="90"/>
      <c r="S121" s="90"/>
      <c r="T121" s="90"/>
      <c r="U121" s="90"/>
      <c r="V121" s="139"/>
      <c r="W121" s="90"/>
      <c r="X121" s="90"/>
      <c r="Y121" s="90"/>
      <c r="Z121" s="90"/>
      <c r="AA121" s="90"/>
      <c r="AB121" s="90"/>
      <c r="AC121" s="90"/>
      <c r="AD121" s="89"/>
      <c r="AE121" s="148" t="s">
        <v>36</v>
      </c>
      <c r="AF121" s="120"/>
      <c r="AG121" s="1199"/>
      <c r="AH121" s="1199"/>
      <c r="AI121" s="1199"/>
      <c r="AJ121" s="1199"/>
      <c r="AK121" s="1199"/>
      <c r="AL121" s="127" t="s">
        <v>854</v>
      </c>
    </row>
    <row r="122" spans="2:38" ht="15.95" customHeight="1">
      <c r="B122" s="1285"/>
      <c r="C122" s="1218"/>
      <c r="D122" s="151" t="s">
        <v>619</v>
      </c>
      <c r="E122" s="138" t="s">
        <v>320</v>
      </c>
      <c r="F122" s="150"/>
      <c r="G122" s="90"/>
      <c r="H122" s="90"/>
      <c r="I122" s="90"/>
      <c r="J122" s="90"/>
      <c r="K122" s="90"/>
      <c r="L122" s="90"/>
      <c r="M122" s="90"/>
      <c r="N122" s="90"/>
      <c r="O122" s="90"/>
      <c r="P122" s="90"/>
      <c r="Q122" s="90"/>
      <c r="R122" s="90"/>
      <c r="S122" s="90"/>
      <c r="T122" s="90"/>
      <c r="U122" s="90"/>
      <c r="V122" s="139"/>
      <c r="W122" s="90"/>
      <c r="X122" s="90"/>
      <c r="Y122" s="90"/>
      <c r="Z122" s="90"/>
      <c r="AA122" s="90"/>
      <c r="AB122" s="90"/>
      <c r="AC122" s="90"/>
      <c r="AD122" s="89"/>
      <c r="AE122" s="148" t="s">
        <v>37</v>
      </c>
      <c r="AF122" s="120"/>
      <c r="AG122" s="1199"/>
      <c r="AH122" s="1199"/>
      <c r="AI122" s="1199"/>
      <c r="AJ122" s="1199"/>
      <c r="AK122" s="1199"/>
      <c r="AL122" s="127" t="s">
        <v>854</v>
      </c>
    </row>
    <row r="123" spans="2:38" s="114" customFormat="1" ht="15" customHeight="1">
      <c r="B123" s="1233" t="s">
        <v>284</v>
      </c>
      <c r="C123" s="1233"/>
      <c r="D123" s="1233"/>
      <c r="E123" s="1233"/>
      <c r="F123" s="1233"/>
      <c r="G123" s="162" t="s">
        <v>38</v>
      </c>
      <c r="H123" s="113"/>
      <c r="I123" s="113"/>
      <c r="J123" s="113"/>
      <c r="K123" s="165"/>
      <c r="P123" s="165"/>
      <c r="Q123" s="166"/>
      <c r="R123" s="166"/>
      <c r="S123" s="166"/>
      <c r="T123" s="167"/>
      <c r="U123" s="167"/>
      <c r="Z123" s="167"/>
      <c r="AA123" s="167"/>
      <c r="AE123" s="216"/>
      <c r="AF123" s="216"/>
      <c r="AG123" s="216"/>
      <c r="AH123" s="216"/>
      <c r="AI123" s="216"/>
      <c r="AJ123" s="216"/>
      <c r="AK123" s="216"/>
      <c r="AL123" s="216"/>
    </row>
    <row r="124" spans="2:38" ht="15" customHeight="1">
      <c r="B124" s="1233"/>
      <c r="C124" s="1233"/>
      <c r="D124" s="1233"/>
      <c r="E124" s="1233"/>
      <c r="F124" s="1233"/>
      <c r="G124" s="219" t="s">
        <v>445</v>
      </c>
      <c r="AE124" s="121"/>
      <c r="AF124" s="121"/>
      <c r="AG124" s="121"/>
      <c r="AH124" s="121"/>
      <c r="AI124" s="121"/>
      <c r="AJ124" s="121"/>
      <c r="AK124" s="121"/>
      <c r="AL124" s="121"/>
    </row>
    <row r="125" spans="2:38" ht="12" customHeight="1">
      <c r="B125" s="1164"/>
      <c r="C125" s="1294">
        <v>1</v>
      </c>
      <c r="D125" s="275" t="s">
        <v>412</v>
      </c>
      <c r="E125" s="211"/>
      <c r="F125" s="82"/>
      <c r="G125" s="82"/>
      <c r="H125" s="82"/>
      <c r="I125" s="82"/>
      <c r="J125" s="82"/>
      <c r="K125" s="82"/>
      <c r="L125" s="82"/>
      <c r="M125" s="82"/>
      <c r="N125" s="82"/>
      <c r="O125" s="82"/>
      <c r="P125" s="82"/>
      <c r="Q125" s="82"/>
      <c r="R125" s="82"/>
      <c r="S125" s="82"/>
      <c r="T125" s="82"/>
      <c r="U125" s="82"/>
      <c r="V125" s="82"/>
      <c r="W125" s="82"/>
      <c r="X125" s="82"/>
      <c r="Y125" s="82"/>
      <c r="Z125" s="82"/>
      <c r="AA125" s="82"/>
      <c r="AB125" s="82"/>
      <c r="AC125" s="82"/>
      <c r="AD125" s="81"/>
      <c r="AE125" s="1257">
        <v>1</v>
      </c>
      <c r="AG125" s="1231"/>
      <c r="AH125" s="1231"/>
      <c r="AI125" s="1231"/>
      <c r="AJ125" s="1231"/>
      <c r="AK125" s="1269"/>
      <c r="AL125" s="1255" t="s">
        <v>854</v>
      </c>
    </row>
    <row r="126" spans="2:38" ht="12" customHeight="1">
      <c r="B126" s="1164"/>
      <c r="C126" s="1295"/>
      <c r="D126" s="220" t="s">
        <v>413</v>
      </c>
      <c r="E126" s="218"/>
      <c r="F126" s="80"/>
      <c r="G126" s="80"/>
      <c r="H126" s="80"/>
      <c r="I126" s="80"/>
      <c r="J126" s="80"/>
      <c r="K126" s="80"/>
      <c r="L126" s="80"/>
      <c r="M126" s="80"/>
      <c r="N126" s="80"/>
      <c r="O126" s="80"/>
      <c r="P126" s="80"/>
      <c r="Q126" s="80"/>
      <c r="R126" s="80"/>
      <c r="S126" s="80"/>
      <c r="T126" s="80"/>
      <c r="U126" s="80"/>
      <c r="V126" s="80"/>
      <c r="W126" s="80"/>
      <c r="X126" s="80"/>
      <c r="Y126" s="80"/>
      <c r="Z126" s="80"/>
      <c r="AA126" s="80"/>
      <c r="AB126" s="80"/>
      <c r="AC126" s="80"/>
      <c r="AD126" s="87"/>
      <c r="AE126" s="1258"/>
      <c r="AG126" s="1158"/>
      <c r="AH126" s="1158"/>
      <c r="AI126" s="1158"/>
      <c r="AJ126" s="1158"/>
      <c r="AK126" s="1270"/>
      <c r="AL126" s="1256"/>
    </row>
    <row r="127" spans="2:38">
      <c r="B127" s="1164"/>
      <c r="C127" s="148">
        <v>2</v>
      </c>
      <c r="D127" s="214" t="s">
        <v>39</v>
      </c>
      <c r="E127" s="171"/>
      <c r="F127" s="80"/>
      <c r="G127" s="80"/>
      <c r="H127" s="80"/>
      <c r="I127" s="80"/>
      <c r="J127" s="80"/>
      <c r="K127" s="80"/>
      <c r="L127" s="80"/>
      <c r="M127" s="80"/>
      <c r="N127" s="80"/>
      <c r="O127" s="80"/>
      <c r="P127" s="80"/>
      <c r="Q127" s="80"/>
      <c r="R127" s="80"/>
      <c r="S127" s="80"/>
      <c r="T127" s="80"/>
      <c r="U127" s="80"/>
      <c r="V127" s="80"/>
      <c r="W127" s="80"/>
      <c r="X127" s="80"/>
      <c r="Y127" s="80"/>
      <c r="Z127" s="80"/>
      <c r="AA127" s="80"/>
      <c r="AB127" s="80"/>
      <c r="AC127" s="80"/>
      <c r="AD127" s="87"/>
      <c r="AE127" s="1249"/>
      <c r="AF127" s="1250"/>
      <c r="AG127" s="1250"/>
      <c r="AH127" s="1250"/>
      <c r="AI127" s="1250"/>
      <c r="AJ127" s="1250"/>
      <c r="AK127" s="1250"/>
      <c r="AL127" s="1226"/>
    </row>
    <row r="128" spans="2:38" ht="14.1" customHeight="1">
      <c r="B128" s="1164"/>
      <c r="C128" s="1217"/>
      <c r="D128" s="145" t="s">
        <v>613</v>
      </c>
      <c r="E128" s="152" t="s">
        <v>40</v>
      </c>
      <c r="V128" s="109" t="s">
        <v>787</v>
      </c>
      <c r="W128" s="85"/>
      <c r="X128" s="1158"/>
      <c r="Y128" s="1158"/>
      <c r="Z128" s="1158"/>
      <c r="AA128" s="1158"/>
      <c r="AB128" s="1158"/>
      <c r="AC128" s="80"/>
      <c r="AD128" s="126" t="s">
        <v>854</v>
      </c>
      <c r="AE128" s="1251"/>
      <c r="AF128" s="1252"/>
      <c r="AG128" s="1252"/>
      <c r="AH128" s="1252"/>
      <c r="AI128" s="1252"/>
      <c r="AJ128" s="1252"/>
      <c r="AK128" s="1252"/>
      <c r="AL128" s="1227"/>
    </row>
    <row r="129" spans="2:38" ht="14.1" customHeight="1">
      <c r="B129" s="1164"/>
      <c r="C129" s="1218"/>
      <c r="D129" s="148" t="s">
        <v>615</v>
      </c>
      <c r="E129" s="138" t="s">
        <v>41</v>
      </c>
      <c r="F129" s="90"/>
      <c r="G129" s="90"/>
      <c r="H129" s="90"/>
      <c r="I129" s="90"/>
      <c r="J129" s="90"/>
      <c r="K129" s="90"/>
      <c r="L129" s="90"/>
      <c r="M129" s="90"/>
      <c r="N129" s="90"/>
      <c r="O129" s="90"/>
      <c r="P129" s="90"/>
      <c r="Q129" s="90"/>
      <c r="R129" s="90"/>
      <c r="S129" s="90"/>
      <c r="T129" s="90"/>
      <c r="U129" s="89"/>
      <c r="V129" s="115" t="s">
        <v>821</v>
      </c>
      <c r="W129" s="96"/>
      <c r="X129" s="1156"/>
      <c r="Y129" s="1156"/>
      <c r="Z129" s="1156"/>
      <c r="AA129" s="1156"/>
      <c r="AB129" s="1156"/>
      <c r="AC129" s="90"/>
      <c r="AD129" s="127" t="s">
        <v>854</v>
      </c>
      <c r="AE129" s="1251"/>
      <c r="AF129" s="1252"/>
      <c r="AG129" s="1252"/>
      <c r="AH129" s="1252"/>
      <c r="AI129" s="1252"/>
      <c r="AJ129" s="1252"/>
      <c r="AK129" s="1252"/>
      <c r="AL129" s="1227"/>
    </row>
    <row r="130" spans="2:38" ht="14.1" customHeight="1">
      <c r="B130" s="1164"/>
      <c r="C130" s="1218"/>
      <c r="D130" s="148" t="s">
        <v>617</v>
      </c>
      <c r="E130" s="202" t="s">
        <v>42</v>
      </c>
      <c r="V130" s="107" t="s">
        <v>795</v>
      </c>
      <c r="W130" s="85"/>
      <c r="X130" s="1158"/>
      <c r="Y130" s="1156"/>
      <c r="Z130" s="1156"/>
      <c r="AA130" s="1156"/>
      <c r="AB130" s="1156"/>
      <c r="AC130" s="90"/>
      <c r="AD130" s="127" t="s">
        <v>854</v>
      </c>
      <c r="AE130" s="1251"/>
      <c r="AF130" s="1252"/>
      <c r="AG130" s="1252"/>
      <c r="AH130" s="1252"/>
      <c r="AI130" s="1252"/>
      <c r="AJ130" s="1252"/>
      <c r="AK130" s="1252"/>
      <c r="AL130" s="1227"/>
    </row>
    <row r="131" spans="2:38" ht="14.1" customHeight="1">
      <c r="B131" s="1167"/>
      <c r="C131" s="1219"/>
      <c r="D131" s="148" t="s">
        <v>619</v>
      </c>
      <c r="E131" s="138" t="s">
        <v>43</v>
      </c>
      <c r="F131" s="90"/>
      <c r="G131" s="90"/>
      <c r="H131" s="90"/>
      <c r="I131" s="90"/>
      <c r="J131" s="90"/>
      <c r="K131" s="90"/>
      <c r="L131" s="90"/>
      <c r="M131" s="90"/>
      <c r="N131" s="90"/>
      <c r="O131" s="90"/>
      <c r="P131" s="90"/>
      <c r="Q131" s="90"/>
      <c r="R131" s="90"/>
      <c r="S131" s="90"/>
      <c r="T131" s="90"/>
      <c r="U131" s="90"/>
      <c r="V131" s="115" t="s">
        <v>796</v>
      </c>
      <c r="W131" s="96"/>
      <c r="X131" s="1156"/>
      <c r="Y131" s="1156"/>
      <c r="Z131" s="1156"/>
      <c r="AA131" s="1156"/>
      <c r="AB131" s="1156"/>
      <c r="AC131" s="90"/>
      <c r="AD131" s="127" t="s">
        <v>854</v>
      </c>
      <c r="AE131" s="1253"/>
      <c r="AF131" s="1254"/>
      <c r="AG131" s="1254"/>
      <c r="AH131" s="1254"/>
      <c r="AI131" s="1254"/>
      <c r="AJ131" s="1254"/>
      <c r="AK131" s="1254"/>
      <c r="AL131" s="1228"/>
    </row>
    <row r="132" spans="2:38" ht="16.5" customHeight="1">
      <c r="B132" s="93"/>
      <c r="C132" s="137"/>
      <c r="D132" s="137"/>
      <c r="E132" s="136"/>
      <c r="AE132" s="125" t="s">
        <v>492</v>
      </c>
      <c r="AF132" s="1168" t="s">
        <v>907</v>
      </c>
      <c r="AG132" s="1168"/>
      <c r="AH132" s="1168"/>
      <c r="AI132" s="1168"/>
      <c r="AJ132" s="132" t="s">
        <v>842</v>
      </c>
      <c r="AK132" s="131"/>
      <c r="AL132" s="133">
        <v>9.06</v>
      </c>
    </row>
    <row r="133" spans="2:38" ht="12.75" customHeight="1">
      <c r="B133" s="1305" t="s">
        <v>315</v>
      </c>
      <c r="C133" s="148"/>
      <c r="D133" s="148" t="s">
        <v>726</v>
      </c>
      <c r="E133" s="138" t="s">
        <v>44</v>
      </c>
      <c r="F133" s="90"/>
      <c r="G133" s="90"/>
      <c r="H133" s="90"/>
      <c r="I133" s="90"/>
      <c r="J133" s="90"/>
      <c r="K133" s="90"/>
      <c r="L133" s="90"/>
      <c r="M133" s="90"/>
      <c r="N133" s="90"/>
      <c r="O133" s="90"/>
      <c r="P133" s="90"/>
      <c r="Q133" s="90"/>
      <c r="R133" s="90"/>
      <c r="S133" s="90"/>
      <c r="T133" s="90"/>
      <c r="U133" s="90"/>
      <c r="V133" s="90"/>
      <c r="W133" s="90"/>
      <c r="X133" s="90"/>
      <c r="Y133" s="90"/>
      <c r="Z133" s="90"/>
      <c r="AA133" s="90"/>
      <c r="AB133" s="90"/>
      <c r="AC133" s="90"/>
      <c r="AD133" s="90"/>
      <c r="AE133" s="148" t="s">
        <v>788</v>
      </c>
      <c r="AF133" s="91"/>
      <c r="AG133" s="1156">
        <v>0</v>
      </c>
      <c r="AH133" s="1156"/>
      <c r="AI133" s="1156"/>
      <c r="AJ133" s="1156"/>
      <c r="AK133" s="1156"/>
      <c r="AL133" s="127" t="s">
        <v>854</v>
      </c>
    </row>
    <row r="134" spans="2:38" ht="12" customHeight="1">
      <c r="B134" s="1306"/>
      <c r="C134" s="145">
        <v>3</v>
      </c>
      <c r="D134" s="156" t="s">
        <v>45</v>
      </c>
      <c r="E134" s="136"/>
      <c r="AE134" s="1249"/>
      <c r="AF134" s="1250"/>
      <c r="AG134" s="1250"/>
      <c r="AH134" s="1250"/>
      <c r="AI134" s="1250"/>
      <c r="AJ134" s="1250"/>
      <c r="AK134" s="1250"/>
      <c r="AL134" s="1226"/>
    </row>
    <row r="135" spans="2:38" ht="14.1" customHeight="1">
      <c r="B135" s="1306"/>
      <c r="C135" s="1217"/>
      <c r="D135" s="158" t="s">
        <v>613</v>
      </c>
      <c r="E135" s="138" t="s">
        <v>46</v>
      </c>
      <c r="F135" s="90"/>
      <c r="G135" s="90"/>
      <c r="H135" s="90"/>
      <c r="I135" s="90"/>
      <c r="J135" s="90"/>
      <c r="K135" s="90"/>
      <c r="L135" s="90"/>
      <c r="M135" s="90"/>
      <c r="N135" s="90"/>
      <c r="O135" s="90"/>
      <c r="P135" s="90"/>
      <c r="Q135" s="90"/>
      <c r="R135" s="90"/>
      <c r="S135" s="90"/>
      <c r="T135" s="90"/>
      <c r="U135" s="89"/>
      <c r="V135" s="157" t="s">
        <v>789</v>
      </c>
      <c r="W135" s="96"/>
      <c r="X135" s="1156"/>
      <c r="Y135" s="1156"/>
      <c r="Z135" s="1156"/>
      <c r="AA135" s="1156"/>
      <c r="AB135" s="1156"/>
      <c r="AC135" s="90"/>
      <c r="AD135" s="223" t="s">
        <v>854</v>
      </c>
      <c r="AE135" s="1251"/>
      <c r="AF135" s="1252"/>
      <c r="AG135" s="1252"/>
      <c r="AH135" s="1252"/>
      <c r="AI135" s="1252"/>
      <c r="AJ135" s="1252"/>
      <c r="AK135" s="1252"/>
      <c r="AL135" s="1227"/>
    </row>
    <row r="136" spans="2:38" ht="14.1" customHeight="1">
      <c r="B136" s="1306"/>
      <c r="C136" s="1218"/>
      <c r="D136" s="158" t="s">
        <v>615</v>
      </c>
      <c r="E136" s="202" t="s">
        <v>47</v>
      </c>
      <c r="V136" s="100" t="s">
        <v>772</v>
      </c>
      <c r="W136" s="96"/>
      <c r="X136" s="1156"/>
      <c r="Y136" s="1156"/>
      <c r="Z136" s="1156"/>
      <c r="AA136" s="1156"/>
      <c r="AB136" s="1156"/>
      <c r="AC136" s="90"/>
      <c r="AD136" s="223" t="s">
        <v>854</v>
      </c>
      <c r="AE136" s="1251"/>
      <c r="AF136" s="1252"/>
      <c r="AG136" s="1252"/>
      <c r="AH136" s="1252"/>
      <c r="AI136" s="1252"/>
      <c r="AJ136" s="1252"/>
      <c r="AK136" s="1252"/>
      <c r="AL136" s="1227"/>
    </row>
    <row r="137" spans="2:38" ht="14.1" customHeight="1">
      <c r="B137" s="1306"/>
      <c r="C137" s="1218"/>
      <c r="D137" s="158" t="s">
        <v>617</v>
      </c>
      <c r="E137" s="271" t="s">
        <v>48</v>
      </c>
      <c r="F137" s="90"/>
      <c r="G137" s="90"/>
      <c r="H137" s="90"/>
      <c r="I137" s="90"/>
      <c r="J137" s="90"/>
      <c r="K137" s="90"/>
      <c r="L137" s="90"/>
      <c r="M137" s="90"/>
      <c r="N137" s="90"/>
      <c r="O137" s="90"/>
      <c r="P137" s="90"/>
      <c r="Q137" s="90"/>
      <c r="R137" s="90"/>
      <c r="S137" s="90"/>
      <c r="T137" s="90"/>
      <c r="U137" s="89"/>
      <c r="V137" s="100" t="s">
        <v>773</v>
      </c>
      <c r="W137" s="85"/>
      <c r="X137" s="1158"/>
      <c r="Y137" s="1156"/>
      <c r="Z137" s="1156"/>
      <c r="AA137" s="1156"/>
      <c r="AB137" s="1156"/>
      <c r="AC137" s="90"/>
      <c r="AD137" s="223" t="s">
        <v>854</v>
      </c>
      <c r="AE137" s="1251"/>
      <c r="AF137" s="1252"/>
      <c r="AG137" s="1252"/>
      <c r="AH137" s="1252"/>
      <c r="AI137" s="1252"/>
      <c r="AJ137" s="1252"/>
      <c r="AK137" s="1252"/>
      <c r="AL137" s="1227"/>
    </row>
    <row r="138" spans="2:38" ht="14.1" customHeight="1">
      <c r="B138" s="1306"/>
      <c r="C138" s="1218"/>
      <c r="D138" s="158" t="s">
        <v>619</v>
      </c>
      <c r="E138" s="270" t="s">
        <v>584</v>
      </c>
      <c r="V138" s="100" t="s">
        <v>799</v>
      </c>
      <c r="W138" s="96"/>
      <c r="X138" s="1156"/>
      <c r="Y138" s="1156"/>
      <c r="Z138" s="1156"/>
      <c r="AA138" s="1156"/>
      <c r="AB138" s="1156"/>
      <c r="AC138" s="90"/>
      <c r="AD138" s="223" t="s">
        <v>854</v>
      </c>
      <c r="AE138" s="1251"/>
      <c r="AF138" s="1252"/>
      <c r="AG138" s="1252"/>
      <c r="AH138" s="1252"/>
      <c r="AI138" s="1252"/>
      <c r="AJ138" s="1252"/>
      <c r="AK138" s="1252"/>
      <c r="AL138" s="1227"/>
    </row>
    <row r="139" spans="2:38" ht="14.1" customHeight="1">
      <c r="B139" s="1306"/>
      <c r="C139" s="1218"/>
      <c r="D139" s="158" t="s">
        <v>726</v>
      </c>
      <c r="E139" s="140" t="s">
        <v>49</v>
      </c>
      <c r="F139" s="90"/>
      <c r="G139" s="90"/>
      <c r="H139" s="90"/>
      <c r="I139" s="90"/>
      <c r="J139" s="90"/>
      <c r="K139" s="90"/>
      <c r="L139" s="90"/>
      <c r="M139" s="90"/>
      <c r="N139" s="90"/>
      <c r="O139" s="90"/>
      <c r="P139" s="90"/>
      <c r="Q139" s="90"/>
      <c r="R139" s="90"/>
      <c r="S139" s="90"/>
      <c r="T139" s="90"/>
      <c r="U139" s="89"/>
      <c r="V139" s="100" t="s">
        <v>823</v>
      </c>
      <c r="W139" s="96"/>
      <c r="X139" s="1156"/>
      <c r="Y139" s="1156"/>
      <c r="Z139" s="1156"/>
      <c r="AA139" s="1156"/>
      <c r="AB139" s="1156"/>
      <c r="AC139" s="90"/>
      <c r="AD139" s="223" t="s">
        <v>854</v>
      </c>
      <c r="AE139" s="1251"/>
      <c r="AF139" s="1252"/>
      <c r="AG139" s="1252"/>
      <c r="AH139" s="1252"/>
      <c r="AI139" s="1252"/>
      <c r="AJ139" s="1252"/>
      <c r="AK139" s="1252"/>
      <c r="AL139" s="1227"/>
    </row>
    <row r="140" spans="2:38" ht="22.5" customHeight="1">
      <c r="B140" s="1306"/>
      <c r="C140" s="1218"/>
      <c r="D140" s="179" t="s">
        <v>750</v>
      </c>
      <c r="E140" s="1277" t="s">
        <v>50</v>
      </c>
      <c r="F140" s="1278"/>
      <c r="G140" s="1278"/>
      <c r="H140" s="1278"/>
      <c r="I140" s="1278"/>
      <c r="J140" s="1278"/>
      <c r="K140" s="1278"/>
      <c r="L140" s="1278"/>
      <c r="M140" s="1278"/>
      <c r="N140" s="1278"/>
      <c r="O140" s="1278"/>
      <c r="P140" s="1278"/>
      <c r="Q140" s="1278"/>
      <c r="R140" s="1278"/>
      <c r="S140" s="1278"/>
      <c r="T140" s="1278"/>
      <c r="V140" s="100" t="s">
        <v>51</v>
      </c>
      <c r="W140" s="90"/>
      <c r="X140" s="1292"/>
      <c r="Y140" s="1292"/>
      <c r="Z140" s="1292"/>
      <c r="AA140" s="1292"/>
      <c r="AB140" s="1292"/>
      <c r="AC140" s="90"/>
      <c r="AD140" s="224" t="s">
        <v>854</v>
      </c>
      <c r="AE140" s="1251"/>
      <c r="AF140" s="1252"/>
      <c r="AG140" s="1252"/>
      <c r="AH140" s="1252"/>
      <c r="AI140" s="1252"/>
      <c r="AJ140" s="1252"/>
      <c r="AK140" s="1252"/>
      <c r="AL140" s="1227"/>
    </row>
    <row r="141" spans="2:38" ht="14.1" customHeight="1">
      <c r="B141" s="1306"/>
      <c r="C141" s="1218"/>
      <c r="D141" s="158" t="s">
        <v>752</v>
      </c>
      <c r="E141" s="140" t="s">
        <v>52</v>
      </c>
      <c r="F141" s="90"/>
      <c r="G141" s="90"/>
      <c r="H141" s="90"/>
      <c r="I141" s="90"/>
      <c r="J141" s="90"/>
      <c r="K141" s="90"/>
      <c r="L141" s="90"/>
      <c r="M141" s="90"/>
      <c r="N141" s="90"/>
      <c r="O141" s="90"/>
      <c r="P141" s="90"/>
      <c r="Q141" s="90"/>
      <c r="R141" s="90"/>
      <c r="S141" s="90"/>
      <c r="T141" s="90"/>
      <c r="U141" s="89"/>
      <c r="V141" s="109" t="s">
        <v>53</v>
      </c>
      <c r="W141" s="96"/>
      <c r="X141" s="1156"/>
      <c r="Y141" s="1156"/>
      <c r="Z141" s="1156"/>
      <c r="AA141" s="1156"/>
      <c r="AB141" s="1156"/>
      <c r="AC141" s="90"/>
      <c r="AD141" s="223" t="s">
        <v>854</v>
      </c>
      <c r="AE141" s="1251"/>
      <c r="AF141" s="1252"/>
      <c r="AG141" s="1252"/>
      <c r="AH141" s="1252"/>
      <c r="AI141" s="1252"/>
      <c r="AJ141" s="1252"/>
      <c r="AK141" s="1252"/>
      <c r="AL141" s="1227"/>
    </row>
    <row r="142" spans="2:38" ht="14.1" customHeight="1">
      <c r="B142" s="1306"/>
      <c r="C142" s="1218"/>
      <c r="D142" s="148" t="s">
        <v>754</v>
      </c>
      <c r="E142" s="221" t="s">
        <v>54</v>
      </c>
      <c r="V142" s="115" t="s">
        <v>55</v>
      </c>
      <c r="W142" s="85"/>
      <c r="X142" s="1158"/>
      <c r="Y142" s="1156"/>
      <c r="Z142" s="1156"/>
      <c r="AA142" s="1156"/>
      <c r="AB142" s="1156"/>
      <c r="AC142" s="90"/>
      <c r="AD142" s="223" t="s">
        <v>854</v>
      </c>
      <c r="AE142" s="1251"/>
      <c r="AF142" s="1252"/>
      <c r="AG142" s="1252"/>
      <c r="AH142" s="1252"/>
      <c r="AI142" s="1252"/>
      <c r="AJ142" s="1252"/>
      <c r="AK142" s="1252"/>
      <c r="AL142" s="1227"/>
    </row>
    <row r="143" spans="2:38" ht="14.1" customHeight="1">
      <c r="B143" s="1306"/>
      <c r="C143" s="1218"/>
      <c r="D143" s="148" t="s">
        <v>749</v>
      </c>
      <c r="E143" s="140" t="s">
        <v>56</v>
      </c>
      <c r="F143" s="90"/>
      <c r="G143" s="90"/>
      <c r="H143" s="90"/>
      <c r="I143" s="90"/>
      <c r="J143" s="90"/>
      <c r="K143" s="90"/>
      <c r="L143" s="90"/>
      <c r="M143" s="90"/>
      <c r="N143" s="90"/>
      <c r="O143" s="90"/>
      <c r="P143" s="90"/>
      <c r="Q143" s="90"/>
      <c r="R143" s="90"/>
      <c r="S143" s="90"/>
      <c r="T143" s="90"/>
      <c r="U143" s="89"/>
      <c r="V143" s="115" t="s">
        <v>57</v>
      </c>
      <c r="W143" s="96"/>
      <c r="X143" s="1156"/>
      <c r="Y143" s="1156"/>
      <c r="Z143" s="1156"/>
      <c r="AA143" s="1156"/>
      <c r="AB143" s="1156"/>
      <c r="AC143" s="90"/>
      <c r="AD143" s="223" t="s">
        <v>854</v>
      </c>
      <c r="AE143" s="1251"/>
      <c r="AF143" s="1252"/>
      <c r="AG143" s="1252"/>
      <c r="AH143" s="1252"/>
      <c r="AI143" s="1252"/>
      <c r="AJ143" s="1252"/>
      <c r="AK143" s="1252"/>
      <c r="AL143" s="1227"/>
    </row>
    <row r="144" spans="2:38" ht="14.1" customHeight="1">
      <c r="B144" s="1306"/>
      <c r="C144" s="1218"/>
      <c r="D144" s="148" t="s">
        <v>751</v>
      </c>
      <c r="E144" s="280" t="s">
        <v>58</v>
      </c>
      <c r="F144" s="80"/>
      <c r="G144" s="80"/>
      <c r="H144" s="80"/>
      <c r="I144" s="80"/>
      <c r="J144" s="80"/>
      <c r="K144" s="80"/>
      <c r="L144" s="80"/>
      <c r="M144" s="80"/>
      <c r="N144" s="80"/>
      <c r="O144" s="80"/>
      <c r="P144" s="80"/>
      <c r="Q144" s="80"/>
      <c r="R144" s="80"/>
      <c r="S144" s="80"/>
      <c r="T144" s="80"/>
      <c r="U144" s="80"/>
      <c r="V144" s="115" t="s">
        <v>59</v>
      </c>
      <c r="W144" s="96"/>
      <c r="X144" s="1156"/>
      <c r="Y144" s="1156"/>
      <c r="Z144" s="1156"/>
      <c r="AA144" s="1156"/>
      <c r="AB144" s="1156"/>
      <c r="AC144" s="90"/>
      <c r="AD144" s="223" t="s">
        <v>854</v>
      </c>
      <c r="AE144" s="1253"/>
      <c r="AF144" s="1254"/>
      <c r="AG144" s="1254"/>
      <c r="AH144" s="1254"/>
      <c r="AI144" s="1254"/>
      <c r="AJ144" s="1254"/>
      <c r="AK144" s="1254"/>
      <c r="AL144" s="1228"/>
    </row>
    <row r="145" spans="2:38" ht="14.1" customHeight="1">
      <c r="B145" s="1306"/>
      <c r="C145" s="1219"/>
      <c r="D145" s="148" t="s">
        <v>753</v>
      </c>
      <c r="E145" s="138" t="s">
        <v>60</v>
      </c>
      <c r="F145" s="90"/>
      <c r="G145" s="90"/>
      <c r="H145" s="90"/>
      <c r="I145" s="90"/>
      <c r="J145" s="90"/>
      <c r="K145" s="90"/>
      <c r="L145" s="90"/>
      <c r="M145" s="90"/>
      <c r="N145" s="90"/>
      <c r="O145" s="90"/>
      <c r="P145" s="90"/>
      <c r="Q145" s="90"/>
      <c r="R145" s="90"/>
      <c r="S145" s="90"/>
      <c r="T145" s="90"/>
      <c r="U145" s="90"/>
      <c r="V145" s="90"/>
      <c r="W145" s="90"/>
      <c r="X145" s="90"/>
      <c r="Y145" s="90"/>
      <c r="Z145" s="90"/>
      <c r="AA145" s="90"/>
      <c r="AB145" s="90"/>
      <c r="AC145" s="90"/>
      <c r="AD145" s="89"/>
      <c r="AE145" s="109" t="s">
        <v>446</v>
      </c>
      <c r="AF145" s="120"/>
      <c r="AG145" s="1156">
        <v>0</v>
      </c>
      <c r="AH145" s="1156"/>
      <c r="AI145" s="1156"/>
      <c r="AJ145" s="1156"/>
      <c r="AK145" s="1156"/>
      <c r="AL145" s="127" t="s">
        <v>854</v>
      </c>
    </row>
    <row r="146" spans="2:38" ht="14.1" customHeight="1">
      <c r="B146" s="1306"/>
      <c r="C146" s="148">
        <v>4</v>
      </c>
      <c r="D146" s="276" t="s">
        <v>61</v>
      </c>
      <c r="E146" s="136"/>
      <c r="AE146" s="148">
        <v>4</v>
      </c>
      <c r="AF146" s="120"/>
      <c r="AG146" s="1156"/>
      <c r="AH146" s="1156"/>
      <c r="AI146" s="1156"/>
      <c r="AJ146" s="1156"/>
      <c r="AK146" s="1156"/>
      <c r="AL146" s="127" t="s">
        <v>854</v>
      </c>
    </row>
    <row r="147" spans="2:38" ht="14.1" customHeight="1">
      <c r="B147" s="1307"/>
      <c r="C147" s="148">
        <v>5</v>
      </c>
      <c r="D147" s="138" t="s">
        <v>62</v>
      </c>
      <c r="E147" s="150"/>
      <c r="F147" s="90"/>
      <c r="G147" s="90"/>
      <c r="H147" s="90"/>
      <c r="I147" s="90"/>
      <c r="J147" s="90"/>
      <c r="K147" s="90"/>
      <c r="L147" s="90"/>
      <c r="M147" s="90"/>
      <c r="N147" s="90"/>
      <c r="O147" s="90"/>
      <c r="P147" s="90"/>
      <c r="Q147" s="90"/>
      <c r="R147" s="90"/>
      <c r="S147" s="90"/>
      <c r="T147" s="90"/>
      <c r="U147" s="90"/>
      <c r="V147" s="90"/>
      <c r="W147" s="90"/>
      <c r="X147" s="90"/>
      <c r="Y147" s="90"/>
      <c r="Z147" s="90"/>
      <c r="AA147" s="90"/>
      <c r="AB147" s="90"/>
      <c r="AC147" s="90"/>
      <c r="AD147" s="89"/>
      <c r="AE147" s="148">
        <v>5</v>
      </c>
      <c r="AF147" s="120"/>
      <c r="AG147" s="1156">
        <v>0</v>
      </c>
      <c r="AH147" s="1156"/>
      <c r="AI147" s="1156"/>
      <c r="AJ147" s="1156"/>
      <c r="AK147" s="1156"/>
      <c r="AL147" s="127" t="s">
        <v>854</v>
      </c>
    </row>
    <row r="148" spans="2:38" ht="14.1" customHeight="1">
      <c r="B148" s="1286" t="s">
        <v>118</v>
      </c>
      <c r="C148" s="161">
        <v>6</v>
      </c>
      <c r="D148" s="277" t="s">
        <v>63</v>
      </c>
      <c r="E148" s="178"/>
      <c r="AE148" s="161">
        <v>6</v>
      </c>
      <c r="AF148" s="120"/>
      <c r="AG148" s="1156"/>
      <c r="AH148" s="1156"/>
      <c r="AI148" s="1156"/>
      <c r="AJ148" s="1156"/>
      <c r="AK148" s="1156"/>
      <c r="AL148" s="127" t="s">
        <v>854</v>
      </c>
    </row>
    <row r="149" spans="2:38" ht="14.1" customHeight="1">
      <c r="B149" s="1287"/>
      <c r="C149" s="148">
        <v>7</v>
      </c>
      <c r="D149" s="271" t="s">
        <v>64</v>
      </c>
      <c r="E149" s="150"/>
      <c r="F149" s="90"/>
      <c r="G149" s="90"/>
      <c r="H149" s="90"/>
      <c r="I149" s="90"/>
      <c r="J149" s="90"/>
      <c r="K149" s="90"/>
      <c r="L149" s="90"/>
      <c r="M149" s="90"/>
      <c r="N149" s="90"/>
      <c r="O149" s="90"/>
      <c r="P149" s="90"/>
      <c r="Q149" s="90"/>
      <c r="R149" s="90"/>
      <c r="S149" s="90"/>
      <c r="T149" s="90"/>
      <c r="U149" s="90"/>
      <c r="V149" s="90"/>
      <c r="W149" s="90"/>
      <c r="X149" s="90"/>
      <c r="Y149" s="90"/>
      <c r="Z149" s="90"/>
      <c r="AA149" s="90"/>
      <c r="AB149" s="90"/>
      <c r="AC149" s="90"/>
      <c r="AD149" s="89"/>
      <c r="AE149" s="148">
        <v>7</v>
      </c>
      <c r="AF149" s="120"/>
      <c r="AG149" s="1156"/>
      <c r="AH149" s="1156"/>
      <c r="AI149" s="1156"/>
      <c r="AJ149" s="1156"/>
      <c r="AK149" s="1156"/>
      <c r="AL149" s="127" t="s">
        <v>854</v>
      </c>
    </row>
    <row r="150" spans="2:38" ht="14.1" customHeight="1">
      <c r="B150" s="1287"/>
      <c r="C150" s="148">
        <v>8</v>
      </c>
      <c r="D150" s="138" t="s">
        <v>65</v>
      </c>
      <c r="E150" s="150"/>
      <c r="F150" s="90"/>
      <c r="G150" s="90"/>
      <c r="H150" s="90"/>
      <c r="I150" s="90"/>
      <c r="J150" s="90"/>
      <c r="K150" s="90"/>
      <c r="L150" s="90"/>
      <c r="M150" s="90"/>
      <c r="N150" s="90"/>
      <c r="O150" s="90"/>
      <c r="P150" s="90"/>
      <c r="Q150" s="90"/>
      <c r="R150" s="90"/>
      <c r="S150" s="90"/>
      <c r="T150" s="90"/>
      <c r="U150" s="90"/>
      <c r="V150" s="90"/>
      <c r="W150" s="90"/>
      <c r="X150" s="90"/>
      <c r="Y150" s="90"/>
      <c r="Z150" s="90"/>
      <c r="AA150" s="90"/>
      <c r="AB150" s="90"/>
      <c r="AC150" s="90"/>
      <c r="AD150" s="90"/>
      <c r="AE150" s="1249"/>
      <c r="AF150" s="1250"/>
      <c r="AG150" s="1250"/>
      <c r="AH150" s="1250"/>
      <c r="AI150" s="1250"/>
      <c r="AJ150" s="1250"/>
      <c r="AK150" s="1250"/>
      <c r="AL150" s="1226"/>
    </row>
    <row r="151" spans="2:38" ht="14.1" customHeight="1">
      <c r="B151" s="1287"/>
      <c r="C151" s="1217"/>
      <c r="D151" s="148" t="s">
        <v>613</v>
      </c>
      <c r="E151" s="136" t="s">
        <v>66</v>
      </c>
      <c r="V151" s="222" t="s">
        <v>67</v>
      </c>
      <c r="X151" s="1156"/>
      <c r="Y151" s="1156"/>
      <c r="Z151" s="1156"/>
      <c r="AA151" s="1156"/>
      <c r="AB151" s="1156"/>
      <c r="AC151" s="90"/>
      <c r="AD151" s="127" t="s">
        <v>854</v>
      </c>
      <c r="AE151" s="1251"/>
      <c r="AF151" s="1252"/>
      <c r="AG151" s="1252"/>
      <c r="AH151" s="1252"/>
      <c r="AI151" s="1252"/>
      <c r="AJ151" s="1252"/>
      <c r="AK151" s="1252"/>
      <c r="AL151" s="1227"/>
    </row>
    <row r="152" spans="2:38" ht="14.1" customHeight="1">
      <c r="B152" s="1287"/>
      <c r="C152" s="1218"/>
      <c r="D152" s="148" t="s">
        <v>615</v>
      </c>
      <c r="E152" s="150" t="s">
        <v>68</v>
      </c>
      <c r="F152" s="90"/>
      <c r="G152" s="90"/>
      <c r="H152" s="90"/>
      <c r="I152" s="90"/>
      <c r="J152" s="90"/>
      <c r="K152" s="90"/>
      <c r="L152" s="90"/>
      <c r="M152" s="90"/>
      <c r="N152" s="90"/>
      <c r="O152" s="90"/>
      <c r="P152" s="90"/>
      <c r="Q152" s="90"/>
      <c r="R152" s="90"/>
      <c r="S152" s="90"/>
      <c r="T152" s="90"/>
      <c r="U152" s="90"/>
      <c r="V152" s="100" t="s">
        <v>69</v>
      </c>
      <c r="W152" s="90"/>
      <c r="X152" s="1156"/>
      <c r="Y152" s="1156"/>
      <c r="Z152" s="1156"/>
      <c r="AA152" s="1156"/>
      <c r="AB152" s="1156"/>
      <c r="AC152" s="90"/>
      <c r="AD152" s="127" t="s">
        <v>854</v>
      </c>
      <c r="AE152" s="1251"/>
      <c r="AF152" s="1252"/>
      <c r="AG152" s="1252"/>
      <c r="AH152" s="1252"/>
      <c r="AI152" s="1252"/>
      <c r="AJ152" s="1252"/>
      <c r="AK152" s="1252"/>
      <c r="AL152" s="1227"/>
    </row>
    <row r="153" spans="2:38" ht="14.1" customHeight="1">
      <c r="B153" s="1287"/>
      <c r="C153" s="1218"/>
      <c r="D153" s="148" t="s">
        <v>617</v>
      </c>
      <c r="E153" s="136" t="s">
        <v>70</v>
      </c>
      <c r="V153" s="103" t="s">
        <v>71</v>
      </c>
      <c r="X153" s="1156"/>
      <c r="Y153" s="1156"/>
      <c r="Z153" s="1156"/>
      <c r="AA153" s="1156"/>
      <c r="AB153" s="1156"/>
      <c r="AC153" s="90"/>
      <c r="AD153" s="127" t="s">
        <v>854</v>
      </c>
      <c r="AE153" s="1251"/>
      <c r="AF153" s="1252"/>
      <c r="AG153" s="1252"/>
      <c r="AH153" s="1252"/>
      <c r="AI153" s="1252"/>
      <c r="AJ153" s="1252"/>
      <c r="AK153" s="1252"/>
      <c r="AL153" s="1227"/>
    </row>
    <row r="154" spans="2:38" ht="14.1" customHeight="1">
      <c r="B154" s="1287"/>
      <c r="C154" s="1218"/>
      <c r="D154" s="148" t="s">
        <v>619</v>
      </c>
      <c r="E154" s="150" t="s">
        <v>107</v>
      </c>
      <c r="F154" s="90"/>
      <c r="G154" s="90"/>
      <c r="H154" s="90"/>
      <c r="I154" s="90"/>
      <c r="J154" s="90"/>
      <c r="K154" s="90"/>
      <c r="L154" s="90"/>
      <c r="M154" s="90"/>
      <c r="N154" s="90"/>
      <c r="O154" s="90"/>
      <c r="P154" s="90"/>
      <c r="Q154" s="90"/>
      <c r="R154" s="90"/>
      <c r="S154" s="90"/>
      <c r="T154" s="90"/>
      <c r="U154" s="90"/>
      <c r="V154" s="100" t="s">
        <v>108</v>
      </c>
      <c r="W154" s="90"/>
      <c r="X154" s="1156"/>
      <c r="Y154" s="1156"/>
      <c r="Z154" s="1156"/>
      <c r="AA154" s="1156"/>
      <c r="AB154" s="1156"/>
      <c r="AC154" s="90"/>
      <c r="AD154" s="127" t="s">
        <v>854</v>
      </c>
      <c r="AE154" s="1251"/>
      <c r="AF154" s="1252"/>
      <c r="AG154" s="1252"/>
      <c r="AH154" s="1252"/>
      <c r="AI154" s="1252"/>
      <c r="AJ154" s="1252"/>
      <c r="AK154" s="1252"/>
      <c r="AL154" s="1227"/>
    </row>
    <row r="155" spans="2:38" ht="14.1" customHeight="1">
      <c r="B155" s="1287"/>
      <c r="C155" s="1218"/>
      <c r="D155" s="148" t="s">
        <v>726</v>
      </c>
      <c r="E155" s="136" t="s">
        <v>41</v>
      </c>
      <c r="V155" s="103" t="s">
        <v>109</v>
      </c>
      <c r="X155" s="1156"/>
      <c r="Y155" s="1156"/>
      <c r="Z155" s="1156"/>
      <c r="AA155" s="1156"/>
      <c r="AB155" s="1156"/>
      <c r="AC155" s="90"/>
      <c r="AD155" s="127" t="s">
        <v>854</v>
      </c>
      <c r="AE155" s="1251"/>
      <c r="AF155" s="1252"/>
      <c r="AG155" s="1252"/>
      <c r="AH155" s="1252"/>
      <c r="AI155" s="1252"/>
      <c r="AJ155" s="1252"/>
      <c r="AK155" s="1252"/>
      <c r="AL155" s="1227"/>
    </row>
    <row r="156" spans="2:38" ht="14.1" customHeight="1">
      <c r="B156" s="1287"/>
      <c r="C156" s="1218"/>
      <c r="D156" s="148" t="s">
        <v>750</v>
      </c>
      <c r="E156" s="150" t="s">
        <v>42</v>
      </c>
      <c r="F156" s="90"/>
      <c r="G156" s="90"/>
      <c r="H156" s="90"/>
      <c r="I156" s="90"/>
      <c r="J156" s="90"/>
      <c r="K156" s="90"/>
      <c r="L156" s="90"/>
      <c r="M156" s="90"/>
      <c r="N156" s="90"/>
      <c r="O156" s="90"/>
      <c r="P156" s="90"/>
      <c r="Q156" s="90"/>
      <c r="R156" s="90"/>
      <c r="S156" s="90"/>
      <c r="T156" s="90"/>
      <c r="U156" s="90"/>
      <c r="V156" s="100" t="s">
        <v>110</v>
      </c>
      <c r="W156" s="90"/>
      <c r="X156" s="1156"/>
      <c r="Y156" s="1156"/>
      <c r="Z156" s="1156"/>
      <c r="AA156" s="1156"/>
      <c r="AB156" s="1156"/>
      <c r="AC156" s="90"/>
      <c r="AD156" s="127" t="s">
        <v>854</v>
      </c>
      <c r="AE156" s="1251"/>
      <c r="AF156" s="1252"/>
      <c r="AG156" s="1252"/>
      <c r="AH156" s="1252"/>
      <c r="AI156" s="1252"/>
      <c r="AJ156" s="1252"/>
      <c r="AK156" s="1252"/>
      <c r="AL156" s="1227"/>
    </row>
    <row r="157" spans="2:38" ht="14.1" customHeight="1">
      <c r="B157" s="1287"/>
      <c r="C157" s="1218"/>
      <c r="D157" s="143" t="s">
        <v>752</v>
      </c>
      <c r="E157" s="136" t="s">
        <v>111</v>
      </c>
      <c r="V157" s="108" t="s">
        <v>112</v>
      </c>
      <c r="X157" s="1231"/>
      <c r="Y157" s="1231"/>
      <c r="Z157" s="1231"/>
      <c r="AA157" s="1231"/>
      <c r="AB157" s="1231"/>
      <c r="AC157" s="82"/>
      <c r="AD157" s="201" t="s">
        <v>854</v>
      </c>
      <c r="AE157" s="1251"/>
      <c r="AF157" s="1252"/>
      <c r="AG157" s="1252"/>
      <c r="AH157" s="1252"/>
      <c r="AI157" s="1252"/>
      <c r="AJ157" s="1252"/>
      <c r="AK157" s="1252"/>
      <c r="AL157" s="1227"/>
    </row>
    <row r="158" spans="2:38" ht="14.1" customHeight="1">
      <c r="B158" s="1287"/>
      <c r="C158" s="1219"/>
      <c r="D158" s="148" t="s">
        <v>754</v>
      </c>
      <c r="E158" s="150" t="s">
        <v>113</v>
      </c>
      <c r="F158" s="90"/>
      <c r="G158" s="90"/>
      <c r="H158" s="90"/>
      <c r="I158" s="90"/>
      <c r="J158" s="90"/>
      <c r="K158" s="90"/>
      <c r="L158" s="90"/>
      <c r="M158" s="90"/>
      <c r="N158" s="90"/>
      <c r="O158" s="90"/>
      <c r="P158" s="90"/>
      <c r="Q158" s="90"/>
      <c r="R158" s="90"/>
      <c r="S158" s="90"/>
      <c r="T158" s="90"/>
      <c r="U158" s="90"/>
      <c r="V158" s="90"/>
      <c r="W158" s="90"/>
      <c r="X158" s="90"/>
      <c r="Y158" s="90"/>
      <c r="Z158" s="90"/>
      <c r="AA158" s="90"/>
      <c r="AB158" s="90"/>
      <c r="AC158" s="90"/>
      <c r="AD158" s="89"/>
      <c r="AE158" s="115" t="s">
        <v>447</v>
      </c>
      <c r="AF158" s="91"/>
      <c r="AG158" s="1156">
        <v>0</v>
      </c>
      <c r="AH158" s="1156"/>
      <c r="AI158" s="1156"/>
      <c r="AJ158" s="1156"/>
      <c r="AK158" s="1156"/>
      <c r="AL158" s="127" t="s">
        <v>854</v>
      </c>
    </row>
    <row r="159" spans="2:38" ht="14.1" customHeight="1">
      <c r="B159" s="1287"/>
      <c r="C159" s="148">
        <v>9</v>
      </c>
      <c r="D159" s="279" t="s">
        <v>114</v>
      </c>
      <c r="E159" s="171"/>
      <c r="F159" s="80"/>
      <c r="G159" s="80"/>
      <c r="H159" s="80"/>
      <c r="I159" s="80"/>
      <c r="J159" s="80"/>
      <c r="K159" s="80"/>
      <c r="L159" s="80"/>
      <c r="M159" s="80"/>
      <c r="N159" s="80"/>
      <c r="O159" s="80"/>
      <c r="P159" s="80"/>
      <c r="Q159" s="80"/>
      <c r="R159" s="80"/>
      <c r="S159" s="80"/>
      <c r="T159" s="80"/>
      <c r="U159" s="80"/>
      <c r="V159" s="86"/>
      <c r="W159" s="80"/>
      <c r="X159" s="80"/>
      <c r="Y159" s="80"/>
      <c r="Z159" s="80"/>
      <c r="AA159" s="80"/>
      <c r="AB159" s="80"/>
      <c r="AC159" s="80"/>
      <c r="AD159" s="87"/>
      <c r="AE159" s="145">
        <v>9</v>
      </c>
      <c r="AF159" s="91"/>
      <c r="AG159" s="1156"/>
      <c r="AH159" s="1156"/>
      <c r="AI159" s="1156"/>
      <c r="AJ159" s="1156"/>
      <c r="AK159" s="1156"/>
      <c r="AL159" s="127" t="s">
        <v>854</v>
      </c>
    </row>
    <row r="160" spans="2:38" ht="14.1" customHeight="1">
      <c r="B160" s="1287"/>
      <c r="C160" s="148">
        <v>10</v>
      </c>
      <c r="D160" s="202" t="s">
        <v>115</v>
      </c>
      <c r="E160" s="136"/>
      <c r="V160" s="79"/>
      <c r="AE160" s="148">
        <v>10</v>
      </c>
      <c r="AF160" s="91"/>
      <c r="AG160" s="1156"/>
      <c r="AH160" s="1156"/>
      <c r="AI160" s="1156"/>
      <c r="AJ160" s="1156"/>
      <c r="AK160" s="1156"/>
      <c r="AL160" s="127" t="s">
        <v>854</v>
      </c>
    </row>
    <row r="161" spans="2:38" ht="14.1" customHeight="1">
      <c r="B161" s="1287"/>
      <c r="C161" s="148">
        <v>11</v>
      </c>
      <c r="D161" s="271" t="s">
        <v>116</v>
      </c>
      <c r="E161" s="150"/>
      <c r="F161" s="90"/>
      <c r="G161" s="90"/>
      <c r="H161" s="90"/>
      <c r="I161" s="90"/>
      <c r="J161" s="90"/>
      <c r="K161" s="90"/>
      <c r="L161" s="90"/>
      <c r="M161" s="90"/>
      <c r="N161" s="90"/>
      <c r="O161" s="90"/>
      <c r="P161" s="90"/>
      <c r="Q161" s="90"/>
      <c r="R161" s="90"/>
      <c r="S161" s="90"/>
      <c r="T161" s="90"/>
      <c r="U161" s="90"/>
      <c r="V161" s="90"/>
      <c r="W161" s="90"/>
      <c r="X161" s="90"/>
      <c r="Y161" s="90"/>
      <c r="Z161" s="90"/>
      <c r="AA161" s="90"/>
      <c r="AB161" s="90"/>
      <c r="AC161" s="90"/>
      <c r="AD161" s="89"/>
      <c r="AE161" s="148">
        <v>11</v>
      </c>
      <c r="AF161" s="91"/>
      <c r="AG161" s="1156"/>
      <c r="AH161" s="1156"/>
      <c r="AI161" s="1156"/>
      <c r="AJ161" s="1156"/>
      <c r="AK161" s="1156"/>
      <c r="AL161" s="127" t="s">
        <v>854</v>
      </c>
    </row>
    <row r="162" spans="2:38" ht="14.1" customHeight="1">
      <c r="B162" s="1287"/>
      <c r="C162" s="148">
        <v>12</v>
      </c>
      <c r="D162" s="270" t="s">
        <v>117</v>
      </c>
      <c r="E162" s="136"/>
      <c r="AE162" s="148">
        <v>12</v>
      </c>
      <c r="AF162" s="91"/>
      <c r="AG162" s="1156"/>
      <c r="AH162" s="1156"/>
      <c r="AI162" s="1156"/>
      <c r="AJ162" s="1156"/>
      <c r="AK162" s="1156"/>
      <c r="AL162" s="127" t="s">
        <v>854</v>
      </c>
    </row>
    <row r="163" spans="2:38" ht="14.1" customHeight="1">
      <c r="B163" s="1287"/>
      <c r="C163" s="148">
        <v>13</v>
      </c>
      <c r="D163" s="138" t="s">
        <v>140</v>
      </c>
      <c r="E163" s="150"/>
      <c r="F163" s="90"/>
      <c r="G163" s="90"/>
      <c r="H163" s="90"/>
      <c r="I163" s="90"/>
      <c r="J163" s="90"/>
      <c r="K163" s="90"/>
      <c r="L163" s="90"/>
      <c r="M163" s="90"/>
      <c r="N163" s="90"/>
      <c r="O163" s="90"/>
      <c r="P163" s="90"/>
      <c r="Q163" s="90"/>
      <c r="R163" s="90"/>
      <c r="S163" s="90"/>
      <c r="T163" s="90"/>
      <c r="U163" s="90"/>
      <c r="V163" s="90"/>
      <c r="W163" s="90"/>
      <c r="X163" s="90"/>
      <c r="Y163" s="90"/>
      <c r="Z163" s="90"/>
      <c r="AA163" s="90"/>
      <c r="AB163" s="90"/>
      <c r="AC163" s="90"/>
      <c r="AD163" s="89"/>
      <c r="AE163" s="148">
        <v>13</v>
      </c>
      <c r="AF163" s="91"/>
      <c r="AG163" s="1156"/>
      <c r="AH163" s="1156"/>
      <c r="AI163" s="1156"/>
      <c r="AJ163" s="1156"/>
      <c r="AK163" s="1156"/>
      <c r="AL163" s="127" t="s">
        <v>854</v>
      </c>
    </row>
    <row r="164" spans="2:38" ht="14.1" customHeight="1">
      <c r="B164" s="1287"/>
      <c r="C164" s="148">
        <v>14</v>
      </c>
      <c r="D164" s="271" t="s">
        <v>141</v>
      </c>
      <c r="E164" s="150"/>
      <c r="F164" s="90"/>
      <c r="G164" s="90"/>
      <c r="H164" s="90"/>
      <c r="I164" s="90"/>
      <c r="J164" s="90"/>
      <c r="K164" s="90"/>
      <c r="L164" s="90"/>
      <c r="M164" s="90"/>
      <c r="N164" s="90"/>
      <c r="O164" s="90"/>
      <c r="P164" s="90"/>
      <c r="Q164" s="90"/>
      <c r="R164" s="90"/>
      <c r="S164" s="90"/>
      <c r="T164" s="90"/>
      <c r="U164" s="90"/>
      <c r="V164" s="90"/>
      <c r="W164" s="90"/>
      <c r="X164" s="90"/>
      <c r="Y164" s="90"/>
      <c r="Z164" s="90"/>
      <c r="AA164" s="90"/>
      <c r="AB164" s="90"/>
      <c r="AC164" s="90"/>
      <c r="AD164" s="89"/>
      <c r="AE164" s="148">
        <v>14</v>
      </c>
      <c r="AF164" s="91"/>
      <c r="AG164" s="1156"/>
      <c r="AH164" s="1156"/>
      <c r="AI164" s="1156"/>
      <c r="AJ164" s="1156"/>
      <c r="AK164" s="1156"/>
      <c r="AL164" s="127" t="s">
        <v>854</v>
      </c>
    </row>
    <row r="165" spans="2:38" ht="14.1" customHeight="1">
      <c r="B165" s="1287"/>
      <c r="C165" s="148">
        <v>15</v>
      </c>
      <c r="D165" s="138" t="s">
        <v>142</v>
      </c>
      <c r="E165" s="150"/>
      <c r="F165" s="90"/>
      <c r="G165" s="90"/>
      <c r="H165" s="90"/>
      <c r="I165" s="90"/>
      <c r="J165" s="90"/>
      <c r="K165" s="90"/>
      <c r="L165" s="90"/>
      <c r="M165" s="90"/>
      <c r="N165" s="90"/>
      <c r="O165" s="90"/>
      <c r="P165" s="90"/>
      <c r="Q165" s="90"/>
      <c r="R165" s="90"/>
      <c r="S165" s="90"/>
      <c r="T165" s="90"/>
      <c r="U165" s="90"/>
      <c r="V165" s="90"/>
      <c r="W165" s="90"/>
      <c r="X165" s="90"/>
      <c r="Y165" s="90"/>
      <c r="Z165" s="90"/>
      <c r="AA165" s="90"/>
      <c r="AB165" s="90"/>
      <c r="AC165" s="90"/>
      <c r="AD165" s="90"/>
      <c r="AE165" s="139"/>
      <c r="AF165" s="91"/>
      <c r="AG165" s="90"/>
      <c r="AH165" s="90"/>
      <c r="AI165" s="90"/>
      <c r="AJ165" s="90"/>
      <c r="AK165" s="90"/>
      <c r="AL165" s="89"/>
    </row>
    <row r="166" spans="2:38" ht="14.1" customHeight="1">
      <c r="B166" s="1287"/>
      <c r="C166" s="1217"/>
      <c r="D166" s="148" t="s">
        <v>613</v>
      </c>
      <c r="E166" s="278" t="s">
        <v>143</v>
      </c>
      <c r="F166" s="90"/>
      <c r="G166" s="90"/>
      <c r="H166" s="90"/>
      <c r="I166" s="90"/>
      <c r="J166" s="90"/>
      <c r="K166" s="90"/>
      <c r="L166" s="90"/>
      <c r="M166" s="90"/>
      <c r="N166" s="90"/>
      <c r="O166" s="90"/>
      <c r="P166" s="90"/>
      <c r="Q166" s="90"/>
      <c r="R166" s="90"/>
      <c r="S166" s="90"/>
      <c r="T166" s="90"/>
      <c r="U166" s="90"/>
      <c r="V166" s="177" t="s">
        <v>144</v>
      </c>
      <c r="X166" s="1156"/>
      <c r="Y166" s="1156"/>
      <c r="Z166" s="1156"/>
      <c r="AA166" s="1156"/>
      <c r="AB166" s="1156"/>
      <c r="AC166" s="90"/>
      <c r="AD166" s="127" t="s">
        <v>854</v>
      </c>
      <c r="AE166" s="1249"/>
      <c r="AF166" s="1250"/>
      <c r="AG166" s="1250"/>
      <c r="AH166" s="1250"/>
      <c r="AI166" s="1250"/>
      <c r="AJ166" s="1250"/>
      <c r="AK166" s="1250"/>
      <c r="AL166" s="1226"/>
    </row>
    <row r="167" spans="2:38" ht="14.1" customHeight="1">
      <c r="B167" s="1287"/>
      <c r="C167" s="1218"/>
      <c r="D167" s="153" t="s">
        <v>615</v>
      </c>
      <c r="E167" s="136" t="s">
        <v>145</v>
      </c>
      <c r="V167" s="225" t="s">
        <v>146</v>
      </c>
      <c r="W167" s="90"/>
      <c r="X167" s="1156"/>
      <c r="Y167" s="1156"/>
      <c r="Z167" s="1156"/>
      <c r="AA167" s="1156"/>
      <c r="AB167" s="1156"/>
      <c r="AC167" s="90"/>
      <c r="AD167" s="127" t="s">
        <v>854</v>
      </c>
      <c r="AE167" s="1251"/>
      <c r="AF167" s="1252"/>
      <c r="AG167" s="1252"/>
      <c r="AH167" s="1252"/>
      <c r="AI167" s="1252"/>
      <c r="AJ167" s="1252"/>
      <c r="AK167" s="1252"/>
      <c r="AL167" s="1227"/>
    </row>
    <row r="168" spans="2:38" ht="14.1" customHeight="1">
      <c r="B168" s="1287"/>
      <c r="C168" s="1218"/>
      <c r="D168" s="148" t="s">
        <v>617</v>
      </c>
      <c r="E168" s="150" t="s">
        <v>147</v>
      </c>
      <c r="F168" s="90"/>
      <c r="G168" s="90"/>
      <c r="H168" s="90"/>
      <c r="I168" s="90"/>
      <c r="J168" s="90"/>
      <c r="K168" s="90"/>
      <c r="L168" s="90"/>
      <c r="M168" s="90"/>
      <c r="N168" s="90"/>
      <c r="O168" s="90"/>
      <c r="P168" s="90"/>
      <c r="Q168" s="90"/>
      <c r="R168" s="90"/>
      <c r="S168" s="90"/>
      <c r="T168" s="90"/>
      <c r="U168" s="90"/>
      <c r="V168" s="97" t="s">
        <v>148</v>
      </c>
      <c r="X168" s="1156"/>
      <c r="Y168" s="1156"/>
      <c r="Z168" s="1156"/>
      <c r="AA168" s="1156"/>
      <c r="AB168" s="1156"/>
      <c r="AC168" s="90"/>
      <c r="AD168" s="127" t="s">
        <v>854</v>
      </c>
      <c r="AE168" s="1251"/>
      <c r="AF168" s="1252"/>
      <c r="AG168" s="1252"/>
      <c r="AH168" s="1252"/>
      <c r="AI168" s="1252"/>
      <c r="AJ168" s="1252"/>
      <c r="AK168" s="1252"/>
      <c r="AL168" s="1227"/>
    </row>
    <row r="169" spans="2:38" ht="14.1" customHeight="1">
      <c r="B169" s="1287"/>
      <c r="C169" s="1218"/>
      <c r="D169" s="153" t="s">
        <v>619</v>
      </c>
      <c r="E169" s="136" t="s">
        <v>149</v>
      </c>
      <c r="V169" s="225" t="s">
        <v>150</v>
      </c>
      <c r="W169" s="90"/>
      <c r="X169" s="1156"/>
      <c r="Y169" s="1156"/>
      <c r="Z169" s="1156"/>
      <c r="AA169" s="1156"/>
      <c r="AB169" s="1156"/>
      <c r="AC169" s="90"/>
      <c r="AD169" s="127" t="s">
        <v>854</v>
      </c>
      <c r="AE169" s="1251"/>
      <c r="AF169" s="1252"/>
      <c r="AG169" s="1252"/>
      <c r="AH169" s="1252"/>
      <c r="AI169" s="1252"/>
      <c r="AJ169" s="1252"/>
      <c r="AK169" s="1252"/>
      <c r="AL169" s="1227"/>
    </row>
    <row r="170" spans="2:38" ht="14.1" customHeight="1">
      <c r="B170" s="1287"/>
      <c r="C170" s="1218"/>
      <c r="D170" s="148" t="s">
        <v>726</v>
      </c>
      <c r="E170" s="150" t="s">
        <v>151</v>
      </c>
      <c r="F170" s="90"/>
      <c r="G170" s="90"/>
      <c r="H170" s="90"/>
      <c r="I170" s="90"/>
      <c r="J170" s="90"/>
      <c r="K170" s="90"/>
      <c r="L170" s="90"/>
      <c r="M170" s="90"/>
      <c r="N170" s="90"/>
      <c r="O170" s="90"/>
      <c r="P170" s="90"/>
      <c r="Q170" s="90"/>
      <c r="R170" s="90"/>
      <c r="S170" s="90"/>
      <c r="T170" s="90"/>
      <c r="U170" s="90"/>
      <c r="V170" s="97" t="s">
        <v>152</v>
      </c>
      <c r="X170" s="1156"/>
      <c r="Y170" s="1156"/>
      <c r="Z170" s="1156"/>
      <c r="AA170" s="1156"/>
      <c r="AB170" s="1156"/>
      <c r="AC170" s="90"/>
      <c r="AD170" s="127" t="s">
        <v>854</v>
      </c>
      <c r="AE170" s="1251"/>
      <c r="AF170" s="1252"/>
      <c r="AG170" s="1252"/>
      <c r="AH170" s="1252"/>
      <c r="AI170" s="1252"/>
      <c r="AJ170" s="1252"/>
      <c r="AK170" s="1252"/>
      <c r="AL170" s="1227"/>
    </row>
    <row r="171" spans="2:38" ht="14.1" customHeight="1">
      <c r="B171" s="1287"/>
      <c r="C171" s="1218"/>
      <c r="D171" s="153" t="s">
        <v>750</v>
      </c>
      <c r="E171" s="136" t="s">
        <v>153</v>
      </c>
      <c r="V171" s="225" t="s">
        <v>154</v>
      </c>
      <c r="W171" s="90"/>
      <c r="X171" s="1156"/>
      <c r="Y171" s="1156"/>
      <c r="Z171" s="1156"/>
      <c r="AA171" s="1156"/>
      <c r="AB171" s="1156"/>
      <c r="AC171" s="90"/>
      <c r="AD171" s="127" t="s">
        <v>854</v>
      </c>
      <c r="AE171" s="1251"/>
      <c r="AF171" s="1252"/>
      <c r="AG171" s="1252"/>
      <c r="AH171" s="1252"/>
      <c r="AI171" s="1252"/>
      <c r="AJ171" s="1252"/>
      <c r="AK171" s="1252"/>
      <c r="AL171" s="1227"/>
    </row>
    <row r="172" spans="2:38" ht="14.1" customHeight="1">
      <c r="B172" s="1287"/>
      <c r="C172" s="1218"/>
      <c r="D172" s="148" t="s">
        <v>752</v>
      </c>
      <c r="E172" s="150" t="s">
        <v>155</v>
      </c>
      <c r="F172" s="90"/>
      <c r="G172" s="90"/>
      <c r="H172" s="90"/>
      <c r="I172" s="90"/>
      <c r="J172" s="90"/>
      <c r="K172" s="90"/>
      <c r="L172" s="90"/>
      <c r="M172" s="90"/>
      <c r="N172" s="90"/>
      <c r="O172" s="90"/>
      <c r="P172" s="90"/>
      <c r="Q172" s="90"/>
      <c r="R172" s="90"/>
      <c r="S172" s="90"/>
      <c r="T172" s="90"/>
      <c r="U172" s="90"/>
      <c r="V172" s="184" t="s">
        <v>156</v>
      </c>
      <c r="X172" s="1231"/>
      <c r="Y172" s="1231"/>
      <c r="Z172" s="1231"/>
      <c r="AA172" s="1231"/>
      <c r="AB172" s="1231"/>
      <c r="AC172" s="82"/>
      <c r="AD172" s="201" t="s">
        <v>854</v>
      </c>
      <c r="AE172" s="1251"/>
      <c r="AF172" s="1252"/>
      <c r="AG172" s="1252"/>
      <c r="AH172" s="1252"/>
      <c r="AI172" s="1252"/>
      <c r="AJ172" s="1252"/>
      <c r="AK172" s="1252"/>
      <c r="AL172" s="1227"/>
    </row>
    <row r="173" spans="2:38" ht="14.1" customHeight="1">
      <c r="B173" s="1287"/>
      <c r="C173" s="1218"/>
      <c r="D173" s="153" t="s">
        <v>754</v>
      </c>
      <c r="E173" s="136" t="s">
        <v>157</v>
      </c>
      <c r="V173" s="225" t="s">
        <v>158</v>
      </c>
      <c r="W173" s="96"/>
      <c r="X173" s="1231"/>
      <c r="Y173" s="1231"/>
      <c r="Z173" s="1231"/>
      <c r="AA173" s="1231"/>
      <c r="AB173" s="1231"/>
      <c r="AC173" s="82"/>
      <c r="AD173" s="201" t="s">
        <v>854</v>
      </c>
      <c r="AE173" s="1251"/>
      <c r="AF173" s="1252"/>
      <c r="AG173" s="1252"/>
      <c r="AH173" s="1252"/>
      <c r="AI173" s="1252"/>
      <c r="AJ173" s="1252"/>
      <c r="AK173" s="1252"/>
      <c r="AL173" s="1227"/>
    </row>
    <row r="174" spans="2:38" ht="14.1" customHeight="1">
      <c r="B174" s="1287"/>
      <c r="C174" s="1218"/>
      <c r="D174" s="148" t="s">
        <v>749</v>
      </c>
      <c r="E174" s="150" t="s">
        <v>159</v>
      </c>
      <c r="F174" s="90"/>
      <c r="G174" s="90"/>
      <c r="H174" s="90"/>
      <c r="I174" s="90"/>
      <c r="J174" s="90"/>
      <c r="K174" s="90"/>
      <c r="L174" s="90"/>
      <c r="M174" s="90"/>
      <c r="N174" s="90"/>
      <c r="O174" s="90"/>
      <c r="P174" s="90"/>
      <c r="Q174" s="90"/>
      <c r="R174" s="90"/>
      <c r="S174" s="90"/>
      <c r="T174" s="90"/>
      <c r="U174" s="90"/>
      <c r="V174" s="184" t="s">
        <v>160</v>
      </c>
      <c r="X174" s="1231"/>
      <c r="Y174" s="1231"/>
      <c r="Z174" s="1231"/>
      <c r="AA174" s="1231"/>
      <c r="AB174" s="1231"/>
      <c r="AC174" s="82"/>
      <c r="AD174" s="201" t="s">
        <v>854</v>
      </c>
      <c r="AE174" s="1251"/>
      <c r="AF174" s="1252"/>
      <c r="AG174" s="1252"/>
      <c r="AH174" s="1252"/>
      <c r="AI174" s="1252"/>
      <c r="AJ174" s="1252"/>
      <c r="AK174" s="1252"/>
      <c r="AL174" s="1227"/>
    </row>
    <row r="175" spans="2:38" ht="22.5" customHeight="1">
      <c r="B175" s="1287"/>
      <c r="C175" s="1218"/>
      <c r="D175" s="157" t="s">
        <v>751</v>
      </c>
      <c r="E175" s="1259" t="s">
        <v>161</v>
      </c>
      <c r="F175" s="1260"/>
      <c r="G175" s="1260"/>
      <c r="H175" s="1260"/>
      <c r="I175" s="1260"/>
      <c r="J175" s="1260"/>
      <c r="K175" s="1260"/>
      <c r="L175" s="1260"/>
      <c r="M175" s="1260"/>
      <c r="N175" s="1260"/>
      <c r="O175" s="1260"/>
      <c r="P175" s="1260"/>
      <c r="Q175" s="1260"/>
      <c r="R175" s="1260"/>
      <c r="S175" s="1260"/>
      <c r="T175" s="1260"/>
      <c r="U175" s="90"/>
      <c r="V175" s="97" t="s">
        <v>162</v>
      </c>
      <c r="W175" s="90"/>
      <c r="X175" s="1156"/>
      <c r="Y175" s="1156"/>
      <c r="Z175" s="1156"/>
      <c r="AA175" s="1156"/>
      <c r="AB175" s="1156"/>
      <c r="AC175" s="90"/>
      <c r="AD175" s="226" t="s">
        <v>854</v>
      </c>
      <c r="AE175" s="1253"/>
      <c r="AF175" s="1254"/>
      <c r="AG175" s="1254"/>
      <c r="AH175" s="1254"/>
      <c r="AI175" s="1254"/>
      <c r="AJ175" s="1254"/>
      <c r="AK175" s="1254"/>
      <c r="AL175" s="1228"/>
    </row>
    <row r="176" spans="2:38" ht="14.1" customHeight="1">
      <c r="B176" s="1287"/>
      <c r="C176" s="1219"/>
      <c r="D176" s="148" t="s">
        <v>753</v>
      </c>
      <c r="E176" s="150" t="s">
        <v>163</v>
      </c>
      <c r="F176" s="90"/>
      <c r="G176" s="90"/>
      <c r="H176" s="90"/>
      <c r="I176" s="90"/>
      <c r="J176" s="90"/>
      <c r="K176" s="90"/>
      <c r="L176" s="90"/>
      <c r="M176" s="90"/>
      <c r="N176" s="90"/>
      <c r="O176" s="90"/>
      <c r="P176" s="90"/>
      <c r="Q176" s="90"/>
      <c r="R176" s="90"/>
      <c r="S176" s="90"/>
      <c r="T176" s="90"/>
      <c r="U176" s="90"/>
      <c r="V176" s="90"/>
      <c r="W176" s="90"/>
      <c r="X176" s="90"/>
      <c r="Y176" s="90"/>
      <c r="Z176" s="90"/>
      <c r="AA176" s="90"/>
      <c r="AB176" s="90"/>
      <c r="AC176" s="90"/>
      <c r="AD176" s="90"/>
      <c r="AE176" s="184" t="s">
        <v>312</v>
      </c>
      <c r="AF176" s="91"/>
      <c r="AG176" s="1156">
        <v>0</v>
      </c>
      <c r="AH176" s="1156"/>
      <c r="AI176" s="1156"/>
      <c r="AJ176" s="1156"/>
      <c r="AK176" s="1156"/>
      <c r="AL176" s="127" t="s">
        <v>854</v>
      </c>
    </row>
    <row r="177" spans="2:38" ht="14.1" customHeight="1">
      <c r="B177" s="1287"/>
      <c r="C177" s="148">
        <v>16</v>
      </c>
      <c r="D177" s="150" t="s">
        <v>164</v>
      </c>
      <c r="E177" s="150"/>
      <c r="F177" s="90"/>
      <c r="G177" s="90"/>
      <c r="H177" s="90"/>
      <c r="I177" s="90"/>
      <c r="J177" s="90"/>
      <c r="K177" s="90"/>
      <c r="L177" s="90"/>
      <c r="M177" s="90"/>
      <c r="N177" s="90"/>
      <c r="O177" s="90"/>
      <c r="P177" s="90"/>
      <c r="Q177" s="90"/>
      <c r="R177" s="90"/>
      <c r="S177" s="90"/>
      <c r="T177" s="90"/>
      <c r="U177" s="90"/>
      <c r="V177" s="90"/>
      <c r="W177" s="90"/>
      <c r="X177" s="90"/>
      <c r="Y177" s="90"/>
      <c r="Z177" s="90"/>
      <c r="AA177" s="90"/>
      <c r="AB177" s="90"/>
      <c r="AC177" s="90"/>
      <c r="AD177" s="89"/>
      <c r="AE177" s="1249"/>
      <c r="AF177" s="1250"/>
      <c r="AG177" s="1250"/>
      <c r="AH177" s="1250"/>
      <c r="AI177" s="1250"/>
      <c r="AJ177" s="1250"/>
      <c r="AK177" s="1250"/>
      <c r="AL177" s="1226"/>
    </row>
    <row r="178" spans="2:38" ht="14.1" customHeight="1">
      <c r="B178" s="1287"/>
      <c r="C178" s="1218"/>
      <c r="D178" s="153" t="s">
        <v>613</v>
      </c>
      <c r="E178" s="136" t="s">
        <v>165</v>
      </c>
      <c r="V178" s="99" t="s">
        <v>166</v>
      </c>
      <c r="W178" s="85"/>
      <c r="X178" s="1248"/>
      <c r="Y178" s="1248"/>
      <c r="Z178" s="1248"/>
      <c r="AA178" s="1248"/>
      <c r="AB178" s="1248"/>
      <c r="AD178" s="134" t="s">
        <v>854</v>
      </c>
      <c r="AE178" s="1251"/>
      <c r="AF178" s="1252"/>
      <c r="AG178" s="1252"/>
      <c r="AH178" s="1252"/>
      <c r="AI178" s="1252"/>
      <c r="AJ178" s="1252"/>
      <c r="AK178" s="1252"/>
      <c r="AL178" s="1227"/>
    </row>
    <row r="179" spans="2:38" ht="14.1" customHeight="1">
      <c r="B179" s="1287"/>
      <c r="C179" s="1218"/>
      <c r="D179" s="148" t="s">
        <v>615</v>
      </c>
      <c r="E179" s="150" t="s">
        <v>167</v>
      </c>
      <c r="F179" s="90"/>
      <c r="G179" s="90"/>
      <c r="H179" s="90"/>
      <c r="I179" s="90"/>
      <c r="J179" s="90"/>
      <c r="K179" s="90"/>
      <c r="L179" s="90"/>
      <c r="M179" s="90"/>
      <c r="N179" s="90"/>
      <c r="O179" s="90"/>
      <c r="P179" s="90"/>
      <c r="Q179" s="90"/>
      <c r="R179" s="90"/>
      <c r="S179" s="90"/>
      <c r="T179" s="90"/>
      <c r="U179" s="90"/>
      <c r="V179" s="104" t="s">
        <v>168</v>
      </c>
      <c r="W179" s="96"/>
      <c r="X179" s="1231"/>
      <c r="Y179" s="1231"/>
      <c r="Z179" s="1231"/>
      <c r="AA179" s="1231"/>
      <c r="AB179" s="1231"/>
      <c r="AC179" s="82"/>
      <c r="AD179" s="201" t="s">
        <v>854</v>
      </c>
      <c r="AE179" s="1251"/>
      <c r="AF179" s="1252"/>
      <c r="AG179" s="1252"/>
      <c r="AH179" s="1252"/>
      <c r="AI179" s="1252"/>
      <c r="AJ179" s="1252"/>
      <c r="AK179" s="1252"/>
      <c r="AL179" s="1227"/>
    </row>
    <row r="180" spans="2:38" ht="14.1" customHeight="1">
      <c r="B180" s="1287"/>
      <c r="C180" s="1218"/>
      <c r="D180" s="145" t="s">
        <v>617</v>
      </c>
      <c r="E180" s="136" t="s">
        <v>169</v>
      </c>
      <c r="V180" s="102" t="s">
        <v>170</v>
      </c>
      <c r="W180" s="96"/>
      <c r="X180" s="1231"/>
      <c r="Y180" s="1231"/>
      <c r="Z180" s="1231"/>
      <c r="AA180" s="1231"/>
      <c r="AB180" s="1231"/>
      <c r="AC180" s="82"/>
      <c r="AD180" s="201" t="s">
        <v>854</v>
      </c>
      <c r="AE180" s="1251"/>
      <c r="AF180" s="1252"/>
      <c r="AG180" s="1252"/>
      <c r="AH180" s="1252"/>
      <c r="AI180" s="1252"/>
      <c r="AJ180" s="1252"/>
      <c r="AK180" s="1252"/>
      <c r="AL180" s="1227"/>
    </row>
    <row r="181" spans="2:38" ht="14.1" customHeight="1">
      <c r="B181" s="1287"/>
      <c r="C181" s="1218"/>
      <c r="D181" s="148" t="s">
        <v>619</v>
      </c>
      <c r="E181" s="138" t="s">
        <v>171</v>
      </c>
      <c r="F181" s="90"/>
      <c r="G181" s="90"/>
      <c r="H181" s="90"/>
      <c r="I181" s="90"/>
      <c r="J181" s="90"/>
      <c r="K181" s="90"/>
      <c r="L181" s="90"/>
      <c r="M181" s="90"/>
      <c r="N181" s="90"/>
      <c r="O181" s="90"/>
      <c r="P181" s="90"/>
      <c r="Q181" s="90"/>
      <c r="R181" s="90"/>
      <c r="S181" s="90"/>
      <c r="T181" s="90"/>
      <c r="U181" s="89"/>
      <c r="V181" s="104" t="s">
        <v>172</v>
      </c>
      <c r="W181" s="96"/>
      <c r="X181" s="1156"/>
      <c r="Y181" s="1156"/>
      <c r="Z181" s="1156"/>
      <c r="AA181" s="1156"/>
      <c r="AB181" s="1156"/>
      <c r="AC181" s="90"/>
      <c r="AD181" s="127" t="s">
        <v>854</v>
      </c>
      <c r="AE181" s="1253"/>
      <c r="AF181" s="1254"/>
      <c r="AG181" s="1254"/>
      <c r="AH181" s="1254"/>
      <c r="AI181" s="1254"/>
      <c r="AJ181" s="1254"/>
      <c r="AK181" s="1254"/>
      <c r="AL181" s="1228"/>
    </row>
    <row r="182" spans="2:38" ht="14.1" customHeight="1">
      <c r="B182" s="1287"/>
      <c r="C182" s="1219"/>
      <c r="D182" s="148" t="s">
        <v>726</v>
      </c>
      <c r="E182" s="150" t="s">
        <v>173</v>
      </c>
      <c r="F182" s="90"/>
      <c r="G182" s="90"/>
      <c r="H182" s="90"/>
      <c r="I182" s="90"/>
      <c r="J182" s="90"/>
      <c r="K182" s="90"/>
      <c r="L182" s="90"/>
      <c r="M182" s="90"/>
      <c r="N182" s="90"/>
      <c r="O182" s="90"/>
      <c r="P182" s="90"/>
      <c r="Q182" s="90"/>
      <c r="R182" s="90"/>
      <c r="S182" s="90"/>
      <c r="T182" s="90"/>
      <c r="U182" s="90"/>
      <c r="V182" s="90"/>
      <c r="W182" s="90"/>
      <c r="X182" s="90"/>
      <c r="Y182" s="90"/>
      <c r="Z182" s="90"/>
      <c r="AA182" s="90"/>
      <c r="AB182" s="90"/>
      <c r="AC182" s="90"/>
      <c r="AD182" s="90"/>
      <c r="AE182" s="104" t="s">
        <v>448</v>
      </c>
      <c r="AF182" s="91"/>
      <c r="AG182" s="1156">
        <v>0</v>
      </c>
      <c r="AH182" s="1156"/>
      <c r="AI182" s="1156"/>
      <c r="AJ182" s="1156"/>
      <c r="AK182" s="1156"/>
      <c r="AL182" s="127" t="s">
        <v>854</v>
      </c>
    </row>
    <row r="183" spans="2:38" ht="14.1" customHeight="1">
      <c r="B183" s="1287"/>
      <c r="C183" s="148">
        <v>17</v>
      </c>
      <c r="D183" s="276" t="s">
        <v>174</v>
      </c>
      <c r="E183" s="136"/>
      <c r="AE183" s="153">
        <v>17</v>
      </c>
      <c r="AF183" s="91"/>
      <c r="AG183" s="1156"/>
      <c r="AH183" s="1156"/>
      <c r="AI183" s="1156"/>
      <c r="AJ183" s="1156"/>
      <c r="AK183" s="1156"/>
      <c r="AL183" s="127" t="s">
        <v>854</v>
      </c>
    </row>
    <row r="184" spans="2:38" ht="14.1" customHeight="1">
      <c r="B184" s="1287"/>
      <c r="C184" s="148">
        <v>18</v>
      </c>
      <c r="D184" s="271" t="s">
        <v>175</v>
      </c>
      <c r="E184" s="150"/>
      <c r="F184" s="90"/>
      <c r="G184" s="90"/>
      <c r="H184" s="90"/>
      <c r="I184" s="90"/>
      <c r="J184" s="90"/>
      <c r="K184" s="90"/>
      <c r="L184" s="90"/>
      <c r="M184" s="90"/>
      <c r="N184" s="90"/>
      <c r="O184" s="90"/>
      <c r="P184" s="90"/>
      <c r="Q184" s="90"/>
      <c r="R184" s="90"/>
      <c r="S184" s="90"/>
      <c r="T184" s="90"/>
      <c r="U184" s="90"/>
      <c r="V184" s="90"/>
      <c r="W184" s="90"/>
      <c r="X184" s="90"/>
      <c r="Y184" s="90"/>
      <c r="Z184" s="90"/>
      <c r="AA184" s="90"/>
      <c r="AB184" s="90"/>
      <c r="AC184" s="90"/>
      <c r="AD184" s="90"/>
      <c r="AE184" s="148">
        <v>18</v>
      </c>
      <c r="AF184" s="91"/>
      <c r="AG184" s="1156"/>
      <c r="AH184" s="1156"/>
      <c r="AI184" s="1156"/>
      <c r="AJ184" s="1156"/>
      <c r="AK184" s="1156"/>
      <c r="AL184" s="127" t="s">
        <v>854</v>
      </c>
    </row>
    <row r="185" spans="2:38" ht="14.1" customHeight="1">
      <c r="B185" s="1288"/>
      <c r="C185" s="148">
        <v>19</v>
      </c>
      <c r="D185" s="150" t="s">
        <v>176</v>
      </c>
      <c r="E185" s="150"/>
      <c r="F185" s="90"/>
      <c r="G185" s="90"/>
      <c r="H185" s="90"/>
      <c r="I185" s="90"/>
      <c r="J185" s="90"/>
      <c r="K185" s="90"/>
      <c r="L185" s="90"/>
      <c r="M185" s="90"/>
      <c r="N185" s="90"/>
      <c r="O185" s="90"/>
      <c r="P185" s="90"/>
      <c r="Q185" s="90"/>
      <c r="R185" s="90"/>
      <c r="S185" s="90"/>
      <c r="T185" s="90"/>
      <c r="U185" s="90"/>
      <c r="V185" s="90"/>
      <c r="W185" s="90"/>
      <c r="X185" s="90"/>
      <c r="Y185" s="90"/>
      <c r="Z185" s="90"/>
      <c r="AA185" s="90"/>
      <c r="AB185" s="90"/>
      <c r="AC185" s="90"/>
      <c r="AD185" s="90"/>
      <c r="AE185" s="148">
        <v>19</v>
      </c>
      <c r="AF185" s="91"/>
      <c r="AG185" s="1156"/>
      <c r="AH185" s="1156"/>
      <c r="AI185" s="1156"/>
      <c r="AJ185" s="1156"/>
      <c r="AK185" s="1156"/>
      <c r="AL185" s="127" t="s">
        <v>854</v>
      </c>
    </row>
    <row r="186" spans="2:38" ht="16.5" customHeight="1">
      <c r="B186" s="131"/>
      <c r="C186" s="137"/>
      <c r="D186" s="136"/>
      <c r="E186" s="136"/>
      <c r="AE186" s="125" t="s">
        <v>492</v>
      </c>
      <c r="AF186" s="1168" t="s">
        <v>907</v>
      </c>
      <c r="AG186" s="1168"/>
      <c r="AH186" s="1168"/>
      <c r="AI186" s="1168"/>
      <c r="AJ186" s="132" t="s">
        <v>843</v>
      </c>
      <c r="AK186" s="131"/>
      <c r="AL186" s="133">
        <v>9.06</v>
      </c>
    </row>
    <row r="187" spans="2:38" ht="14.1" customHeight="1">
      <c r="B187" s="1286" t="s">
        <v>118</v>
      </c>
      <c r="C187" s="148">
        <v>20</v>
      </c>
      <c r="D187" s="138" t="s">
        <v>285</v>
      </c>
      <c r="E187" s="150"/>
      <c r="F187" s="90"/>
      <c r="G187" s="90"/>
      <c r="H187" s="90"/>
      <c r="I187" s="90"/>
      <c r="J187" s="90"/>
      <c r="K187" s="90"/>
      <c r="L187" s="90"/>
      <c r="M187" s="90"/>
      <c r="N187" s="90"/>
      <c r="O187" s="90"/>
      <c r="P187" s="90"/>
      <c r="Q187" s="90"/>
      <c r="R187" s="90"/>
      <c r="S187" s="90"/>
      <c r="T187" s="90"/>
      <c r="U187" s="90"/>
      <c r="V187" s="90"/>
      <c r="W187" s="90"/>
      <c r="X187" s="90"/>
      <c r="Y187" s="90"/>
      <c r="Z187" s="90"/>
      <c r="AA187" s="90"/>
      <c r="AB187" s="90"/>
      <c r="AC187" s="90"/>
      <c r="AD187" s="90"/>
      <c r="AE187" s="148">
        <v>20</v>
      </c>
      <c r="AF187" s="91"/>
      <c r="AG187" s="1156"/>
      <c r="AH187" s="1156"/>
      <c r="AI187" s="1156"/>
      <c r="AJ187" s="1156"/>
      <c r="AK187" s="1156"/>
      <c r="AL187" s="127" t="s">
        <v>854</v>
      </c>
    </row>
    <row r="188" spans="2:38" ht="15" customHeight="1">
      <c r="B188" s="1287"/>
      <c r="C188" s="148">
        <v>21</v>
      </c>
      <c r="D188" s="138" t="s">
        <v>286</v>
      </c>
      <c r="E188" s="15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148">
        <v>21</v>
      </c>
      <c r="AF188" s="91"/>
      <c r="AG188" s="1156"/>
      <c r="AH188" s="1156"/>
      <c r="AI188" s="1156"/>
      <c r="AJ188" s="1156"/>
      <c r="AK188" s="1156"/>
      <c r="AL188" s="127" t="s">
        <v>854</v>
      </c>
    </row>
    <row r="189" spans="2:38" ht="14.1" customHeight="1">
      <c r="B189" s="1287"/>
      <c r="C189" s="148">
        <v>22</v>
      </c>
      <c r="D189" s="136" t="s">
        <v>287</v>
      </c>
      <c r="E189" s="136"/>
      <c r="AE189" s="153">
        <v>22</v>
      </c>
      <c r="AF189" s="91"/>
      <c r="AG189" s="1156"/>
      <c r="AH189" s="1156"/>
      <c r="AI189" s="1156"/>
      <c r="AJ189" s="1156"/>
      <c r="AK189" s="1156"/>
      <c r="AL189" s="127" t="s">
        <v>854</v>
      </c>
    </row>
    <row r="190" spans="2:38" ht="14.1" customHeight="1">
      <c r="B190" s="1287"/>
      <c r="C190" s="148">
        <v>23</v>
      </c>
      <c r="D190" s="138" t="s">
        <v>47</v>
      </c>
      <c r="E190" s="150"/>
      <c r="F190" s="90"/>
      <c r="G190" s="90"/>
      <c r="H190" s="90"/>
      <c r="I190" s="90"/>
      <c r="J190" s="90"/>
      <c r="K190" s="90"/>
      <c r="L190" s="90"/>
      <c r="M190" s="90"/>
      <c r="N190" s="90"/>
      <c r="O190" s="90"/>
      <c r="P190" s="90"/>
      <c r="Q190" s="90"/>
      <c r="R190" s="90"/>
      <c r="S190" s="90"/>
      <c r="T190" s="90"/>
      <c r="U190" s="90"/>
      <c r="V190" s="90"/>
      <c r="W190" s="90"/>
      <c r="X190" s="90"/>
      <c r="Y190" s="90"/>
      <c r="Z190" s="90"/>
      <c r="AA190" s="90"/>
      <c r="AB190" s="90"/>
      <c r="AC190" s="90"/>
      <c r="AD190" s="90"/>
      <c r="AE190" s="148">
        <v>23</v>
      </c>
      <c r="AF190" s="91"/>
      <c r="AG190" s="1156"/>
      <c r="AH190" s="1156"/>
      <c r="AI190" s="1156"/>
      <c r="AJ190" s="1156"/>
      <c r="AK190" s="1156"/>
      <c r="AL190" s="127" t="s">
        <v>854</v>
      </c>
    </row>
    <row r="191" spans="2:38" ht="14.1" customHeight="1">
      <c r="B191" s="1287"/>
      <c r="C191" s="148">
        <v>24</v>
      </c>
      <c r="D191" s="136" t="s">
        <v>288</v>
      </c>
      <c r="E191" s="136"/>
      <c r="AE191" s="153">
        <v>24</v>
      </c>
      <c r="AF191" s="91"/>
      <c r="AG191" s="1156"/>
      <c r="AH191" s="1156"/>
      <c r="AI191" s="1156"/>
      <c r="AJ191" s="1156"/>
      <c r="AK191" s="1156"/>
      <c r="AL191" s="127" t="s">
        <v>854</v>
      </c>
    </row>
    <row r="192" spans="2:38" ht="14.1" customHeight="1">
      <c r="B192" s="1287"/>
      <c r="C192" s="148">
        <v>25</v>
      </c>
      <c r="D192" s="138" t="s">
        <v>289</v>
      </c>
      <c r="E192" s="150"/>
      <c r="F192" s="90"/>
      <c r="G192" s="90"/>
      <c r="H192" s="90"/>
      <c r="I192" s="90"/>
      <c r="J192" s="90"/>
      <c r="K192" s="90"/>
      <c r="L192" s="90"/>
      <c r="M192" s="90"/>
      <c r="N192" s="90"/>
      <c r="O192" s="90"/>
      <c r="P192" s="90"/>
      <c r="Q192" s="90"/>
      <c r="R192" s="90"/>
      <c r="S192" s="90"/>
      <c r="T192" s="90"/>
      <c r="U192" s="90"/>
      <c r="V192" s="90"/>
      <c r="W192" s="90"/>
      <c r="X192" s="90"/>
      <c r="Y192" s="90"/>
      <c r="Z192" s="90"/>
      <c r="AA192" s="90"/>
      <c r="AB192" s="90"/>
      <c r="AC192" s="90"/>
      <c r="AD192" s="90"/>
      <c r="AE192" s="148">
        <v>25</v>
      </c>
      <c r="AF192" s="91"/>
      <c r="AG192" s="1156"/>
      <c r="AH192" s="1156"/>
      <c r="AI192" s="1156"/>
      <c r="AJ192" s="1156"/>
      <c r="AK192" s="1156"/>
      <c r="AL192" s="127" t="s">
        <v>854</v>
      </c>
    </row>
    <row r="193" spans="2:39" ht="14.1" customHeight="1">
      <c r="B193" s="1287"/>
      <c r="C193" s="143">
        <v>26</v>
      </c>
      <c r="D193" s="276" t="s">
        <v>449</v>
      </c>
      <c r="E193" s="136"/>
      <c r="AE193" s="153">
        <v>26</v>
      </c>
      <c r="AF193" s="91"/>
      <c r="AG193" s="1156"/>
      <c r="AH193" s="1156"/>
      <c r="AI193" s="1156"/>
      <c r="AJ193" s="1156"/>
      <c r="AK193" s="1156"/>
      <c r="AL193" s="127" t="s">
        <v>854</v>
      </c>
    </row>
    <row r="194" spans="2:39" ht="14.1" customHeight="1">
      <c r="B194" s="1287"/>
      <c r="C194" s="148">
        <v>27</v>
      </c>
      <c r="D194" s="278" t="s">
        <v>290</v>
      </c>
      <c r="E194" s="150"/>
      <c r="F194" s="90"/>
      <c r="G194" s="90"/>
      <c r="H194" s="90"/>
      <c r="I194" s="90"/>
      <c r="J194" s="90"/>
      <c r="K194" s="90"/>
      <c r="L194" s="90"/>
      <c r="M194" s="90"/>
      <c r="N194" s="90"/>
      <c r="O194" s="90"/>
      <c r="P194" s="90"/>
      <c r="Q194" s="90"/>
      <c r="R194" s="90"/>
      <c r="S194" s="90"/>
      <c r="T194" s="90"/>
      <c r="U194" s="90"/>
      <c r="V194" s="90"/>
      <c r="W194" s="90"/>
      <c r="X194" s="90"/>
      <c r="Y194" s="90"/>
      <c r="Z194" s="90"/>
      <c r="AA194" s="90"/>
      <c r="AB194" s="90"/>
      <c r="AC194" s="90"/>
      <c r="AD194" s="90"/>
      <c r="AE194" s="148">
        <v>27</v>
      </c>
      <c r="AF194" s="91"/>
      <c r="AG194" s="1156"/>
      <c r="AH194" s="1156"/>
      <c r="AI194" s="1156"/>
      <c r="AJ194" s="1156"/>
      <c r="AK194" s="1156"/>
      <c r="AL194" s="127" t="s">
        <v>854</v>
      </c>
    </row>
    <row r="195" spans="2:39" ht="14.1" customHeight="1">
      <c r="B195" s="1287"/>
      <c r="C195" s="153">
        <v>28</v>
      </c>
      <c r="D195" s="136" t="s">
        <v>291</v>
      </c>
      <c r="E195" s="136"/>
      <c r="AE195" s="153">
        <v>28</v>
      </c>
      <c r="AF195" s="91"/>
      <c r="AG195" s="1156"/>
      <c r="AH195" s="1156"/>
      <c r="AI195" s="1156"/>
      <c r="AJ195" s="1156"/>
      <c r="AK195" s="1156"/>
      <c r="AL195" s="127" t="s">
        <v>854</v>
      </c>
    </row>
    <row r="196" spans="2:39" ht="14.1" customHeight="1">
      <c r="B196" s="1287"/>
      <c r="C196" s="148">
        <v>29</v>
      </c>
      <c r="D196" s="150" t="s">
        <v>450</v>
      </c>
      <c r="E196" s="150"/>
      <c r="F196" s="90"/>
      <c r="G196" s="90"/>
      <c r="H196" s="90"/>
      <c r="I196" s="90"/>
      <c r="J196" s="90"/>
      <c r="K196" s="90"/>
      <c r="L196" s="90"/>
      <c r="M196" s="90"/>
      <c r="N196" s="90"/>
      <c r="O196" s="90"/>
      <c r="P196" s="90"/>
      <c r="Q196" s="90"/>
      <c r="R196" s="90"/>
      <c r="S196" s="90"/>
      <c r="T196" s="90"/>
      <c r="U196" s="90"/>
      <c r="V196" s="90"/>
      <c r="W196" s="90"/>
      <c r="X196" s="90"/>
      <c r="Y196" s="90"/>
      <c r="Z196" s="90"/>
      <c r="AA196" s="90"/>
      <c r="AB196" s="90"/>
      <c r="AC196" s="90"/>
      <c r="AD196" s="90"/>
      <c r="AE196" s="148">
        <v>29</v>
      </c>
      <c r="AF196" s="91"/>
      <c r="AG196" s="1156"/>
      <c r="AH196" s="1156"/>
      <c r="AI196" s="1156"/>
      <c r="AJ196" s="1156"/>
      <c r="AK196" s="1156"/>
      <c r="AL196" s="127" t="s">
        <v>854</v>
      </c>
    </row>
    <row r="197" spans="2:39" ht="14.1" customHeight="1">
      <c r="B197" s="1287"/>
      <c r="C197" s="153">
        <v>30</v>
      </c>
      <c r="D197" s="276" t="s">
        <v>451</v>
      </c>
      <c r="E197" s="136"/>
      <c r="AE197" s="153">
        <v>30</v>
      </c>
      <c r="AF197" s="91"/>
      <c r="AG197" s="1156"/>
      <c r="AH197" s="1156"/>
      <c r="AI197" s="1156"/>
      <c r="AJ197" s="1156"/>
      <c r="AK197" s="1156"/>
      <c r="AL197" s="127" t="s">
        <v>854</v>
      </c>
    </row>
    <row r="198" spans="2:39" ht="14.1" customHeight="1">
      <c r="B198" s="1287"/>
      <c r="C198" s="148">
        <v>31</v>
      </c>
      <c r="D198" s="150" t="s">
        <v>292</v>
      </c>
      <c r="E198" s="150"/>
      <c r="F198" s="90"/>
      <c r="G198" s="90"/>
      <c r="H198" s="90"/>
      <c r="I198" s="90"/>
      <c r="J198" s="90"/>
      <c r="K198" s="90"/>
      <c r="L198" s="90"/>
      <c r="M198" s="90"/>
      <c r="N198" s="90"/>
      <c r="O198" s="90"/>
      <c r="P198" s="90"/>
      <c r="Q198" s="90"/>
      <c r="R198" s="90"/>
      <c r="S198" s="90"/>
      <c r="T198" s="90"/>
      <c r="U198" s="90"/>
      <c r="V198" s="90"/>
      <c r="W198" s="90"/>
      <c r="X198" s="90"/>
      <c r="Y198" s="90"/>
      <c r="Z198" s="90"/>
      <c r="AA198" s="90"/>
      <c r="AB198" s="90"/>
      <c r="AC198" s="90"/>
      <c r="AD198" s="90"/>
      <c r="AE198" s="148">
        <v>31</v>
      </c>
      <c r="AF198" s="91"/>
      <c r="AG198" s="1156"/>
      <c r="AH198" s="1156"/>
      <c r="AI198" s="1156"/>
      <c r="AJ198" s="1156"/>
      <c r="AK198" s="1156"/>
      <c r="AL198" s="127" t="s">
        <v>854</v>
      </c>
    </row>
    <row r="199" spans="2:39" ht="14.1" customHeight="1">
      <c r="B199" s="1287"/>
      <c r="C199" s="153">
        <v>32</v>
      </c>
      <c r="D199" s="136" t="s">
        <v>293</v>
      </c>
      <c r="E199" s="136"/>
      <c r="AE199" s="153">
        <v>32</v>
      </c>
      <c r="AF199" s="91"/>
      <c r="AG199" s="1156"/>
      <c r="AH199" s="1156"/>
      <c r="AI199" s="1156"/>
      <c r="AJ199" s="1156"/>
      <c r="AK199" s="1156"/>
      <c r="AL199" s="127" t="s">
        <v>854</v>
      </c>
    </row>
    <row r="200" spans="2:39" ht="14.1" customHeight="1">
      <c r="B200" s="1287"/>
      <c r="C200" s="148">
        <v>33</v>
      </c>
      <c r="D200" s="150" t="s">
        <v>294</v>
      </c>
      <c r="E200" s="150"/>
      <c r="F200" s="90"/>
      <c r="G200" s="90"/>
      <c r="H200" s="90"/>
      <c r="I200" s="90"/>
      <c r="J200" s="90"/>
      <c r="K200" s="90"/>
      <c r="L200" s="90"/>
      <c r="M200" s="90"/>
      <c r="N200" s="90"/>
      <c r="O200" s="90"/>
      <c r="P200" s="90"/>
      <c r="Q200" s="90"/>
      <c r="R200" s="90"/>
      <c r="S200" s="90"/>
      <c r="T200" s="90"/>
      <c r="U200" s="90"/>
      <c r="V200" s="90"/>
      <c r="W200" s="90"/>
      <c r="X200" s="90"/>
      <c r="Y200" s="90"/>
      <c r="Z200" s="90"/>
      <c r="AA200" s="90"/>
      <c r="AB200" s="90"/>
      <c r="AC200" s="90"/>
      <c r="AD200" s="90"/>
      <c r="AE200" s="115">
        <v>33</v>
      </c>
      <c r="AF200" s="91"/>
      <c r="AG200" s="1156"/>
      <c r="AH200" s="1156"/>
      <c r="AI200" s="1156"/>
      <c r="AJ200" s="1156"/>
      <c r="AK200" s="1156"/>
      <c r="AL200" s="127" t="s">
        <v>854</v>
      </c>
    </row>
    <row r="201" spans="2:39" ht="15.75" customHeight="1">
      <c r="B201" s="1287"/>
      <c r="C201" s="145">
        <v>34</v>
      </c>
      <c r="D201" s="182" t="s">
        <v>414</v>
      </c>
      <c r="E201" s="136"/>
      <c r="AE201" s="1159"/>
      <c r="AF201" s="1160"/>
      <c r="AG201" s="1160"/>
      <c r="AH201" s="1160"/>
      <c r="AI201" s="1160"/>
      <c r="AJ201" s="1160"/>
      <c r="AK201" s="1160"/>
      <c r="AL201" s="1161"/>
    </row>
    <row r="202" spans="2:39" ht="14.1" customHeight="1">
      <c r="B202" s="1287"/>
      <c r="C202" s="1217"/>
      <c r="D202" s="148" t="s">
        <v>613</v>
      </c>
      <c r="E202" s="150" t="s">
        <v>295</v>
      </c>
      <c r="F202" s="90"/>
      <c r="G202" s="90"/>
      <c r="H202" s="90"/>
      <c r="I202" s="90"/>
      <c r="J202" s="90"/>
      <c r="K202" s="90"/>
      <c r="L202" s="90"/>
      <c r="M202" s="90"/>
      <c r="N202" s="90"/>
      <c r="O202" s="90"/>
      <c r="P202" s="90"/>
      <c r="Q202" s="90"/>
      <c r="R202" s="90"/>
      <c r="S202" s="90"/>
      <c r="T202" s="90"/>
      <c r="U202" s="89"/>
      <c r="V202" s="104" t="s">
        <v>452</v>
      </c>
      <c r="W202" s="96"/>
      <c r="X202" s="1156"/>
      <c r="Y202" s="1156"/>
      <c r="Z202" s="1156"/>
      <c r="AA202" s="1156"/>
      <c r="AB202" s="1156"/>
      <c r="AC202" s="90"/>
      <c r="AD202" s="127" t="s">
        <v>854</v>
      </c>
      <c r="AE202" s="1162"/>
      <c r="AF202" s="1163"/>
      <c r="AG202" s="1163"/>
      <c r="AH202" s="1163"/>
      <c r="AI202" s="1163"/>
      <c r="AJ202" s="1163"/>
      <c r="AK202" s="1163"/>
      <c r="AL202" s="1164"/>
    </row>
    <row r="203" spans="2:39" ht="14.1" customHeight="1">
      <c r="B203" s="1287"/>
      <c r="C203" s="1218"/>
      <c r="D203" s="145" t="s">
        <v>615</v>
      </c>
      <c r="E203" s="136" t="s">
        <v>296</v>
      </c>
      <c r="V203" s="104" t="s">
        <v>453</v>
      </c>
      <c r="W203" s="96"/>
      <c r="X203" s="1231"/>
      <c r="Y203" s="1231"/>
      <c r="Z203" s="1231"/>
      <c r="AA203" s="1231"/>
      <c r="AB203" s="1231"/>
      <c r="AC203" s="82"/>
      <c r="AD203" s="201" t="s">
        <v>854</v>
      </c>
      <c r="AE203" s="1162"/>
      <c r="AF203" s="1163"/>
      <c r="AG203" s="1163"/>
      <c r="AH203" s="1163"/>
      <c r="AI203" s="1163"/>
      <c r="AJ203" s="1163"/>
      <c r="AK203" s="1163"/>
      <c r="AL203" s="1164"/>
    </row>
    <row r="204" spans="2:39" ht="14.1" customHeight="1">
      <c r="B204" s="1287"/>
      <c r="C204" s="1218"/>
      <c r="D204" s="148" t="s">
        <v>617</v>
      </c>
      <c r="E204" s="138" t="s">
        <v>297</v>
      </c>
      <c r="F204" s="90"/>
      <c r="G204" s="90"/>
      <c r="H204" s="90"/>
      <c r="I204" s="90"/>
      <c r="J204" s="90"/>
      <c r="K204" s="90"/>
      <c r="L204" s="90"/>
      <c r="M204" s="90"/>
      <c r="N204" s="90"/>
      <c r="O204" s="90"/>
      <c r="P204" s="90"/>
      <c r="Q204" s="90"/>
      <c r="R204" s="90"/>
      <c r="S204" s="90"/>
      <c r="T204" s="90"/>
      <c r="U204" s="89"/>
      <c r="V204" s="104" t="s">
        <v>454</v>
      </c>
      <c r="W204" s="96"/>
      <c r="X204" s="1231"/>
      <c r="Y204" s="1231"/>
      <c r="Z204" s="1231"/>
      <c r="AA204" s="1231"/>
      <c r="AB204" s="1231"/>
      <c r="AC204" s="82"/>
      <c r="AD204" s="201" t="s">
        <v>854</v>
      </c>
      <c r="AE204" s="1162"/>
      <c r="AF204" s="1163"/>
      <c r="AG204" s="1163"/>
      <c r="AH204" s="1163"/>
      <c r="AI204" s="1163"/>
      <c r="AJ204" s="1163"/>
      <c r="AK204" s="1163"/>
      <c r="AL204" s="1164"/>
    </row>
    <row r="205" spans="2:39" ht="14.1" customHeight="1">
      <c r="B205" s="1287"/>
      <c r="C205" s="1218"/>
      <c r="D205" s="148" t="s">
        <v>619</v>
      </c>
      <c r="E205" s="136" t="s">
        <v>298</v>
      </c>
      <c r="V205" s="104" t="s">
        <v>455</v>
      </c>
      <c r="W205" s="96"/>
      <c r="X205" s="1156"/>
      <c r="Y205" s="1156"/>
      <c r="Z205" s="1156"/>
      <c r="AA205" s="1156"/>
      <c r="AB205" s="1156"/>
      <c r="AC205" s="90"/>
      <c r="AD205" s="127" t="s">
        <v>854</v>
      </c>
      <c r="AE205" s="1162"/>
      <c r="AF205" s="1163"/>
      <c r="AG205" s="1163"/>
      <c r="AH205" s="1163"/>
      <c r="AI205" s="1163"/>
      <c r="AJ205" s="1163"/>
      <c r="AK205" s="1163"/>
      <c r="AL205" s="1164"/>
    </row>
    <row r="206" spans="2:39" ht="14.1" customHeight="1">
      <c r="B206" s="1287"/>
      <c r="C206" s="1218"/>
      <c r="D206" s="148" t="s">
        <v>726</v>
      </c>
      <c r="E206" s="138" t="s">
        <v>300</v>
      </c>
      <c r="F206" s="90"/>
      <c r="G206" s="90"/>
      <c r="H206" s="90"/>
      <c r="I206" s="90"/>
      <c r="J206" s="90"/>
      <c r="K206" s="90"/>
      <c r="L206" s="90"/>
      <c r="M206" s="90"/>
      <c r="N206" s="90"/>
      <c r="O206" s="90"/>
      <c r="P206" s="90"/>
      <c r="Q206" s="90"/>
      <c r="R206" s="90"/>
      <c r="S206" s="90"/>
      <c r="T206" s="90"/>
      <c r="U206" s="89"/>
      <c r="V206" s="104" t="s">
        <v>456</v>
      </c>
      <c r="W206" s="96"/>
      <c r="X206" s="1156"/>
      <c r="Y206" s="1156"/>
      <c r="Z206" s="1156"/>
      <c r="AA206" s="1156"/>
      <c r="AB206" s="1156"/>
      <c r="AC206" s="90"/>
      <c r="AD206" s="127" t="s">
        <v>854</v>
      </c>
      <c r="AE206" s="1165"/>
      <c r="AF206" s="1166"/>
      <c r="AG206" s="1166"/>
      <c r="AH206" s="1166"/>
      <c r="AI206" s="1166"/>
      <c r="AJ206" s="1166"/>
      <c r="AK206" s="1166"/>
      <c r="AL206" s="1167"/>
    </row>
    <row r="207" spans="2:39" ht="14.1" customHeight="1">
      <c r="B207" s="1287"/>
      <c r="C207" s="1219"/>
      <c r="D207" s="143" t="s">
        <v>750</v>
      </c>
      <c r="E207" s="136" t="s">
        <v>299</v>
      </c>
      <c r="AE207" s="109" t="s">
        <v>457</v>
      </c>
      <c r="AF207" s="91"/>
      <c r="AG207" s="1156">
        <v>0</v>
      </c>
      <c r="AH207" s="1156"/>
      <c r="AI207" s="1156"/>
      <c r="AJ207" s="1156"/>
      <c r="AK207" s="1156"/>
      <c r="AL207" s="127" t="s">
        <v>854</v>
      </c>
    </row>
    <row r="208" spans="2:39" ht="14.1" customHeight="1">
      <c r="B208" s="1287"/>
      <c r="C208" s="148">
        <v>35</v>
      </c>
      <c r="D208" s="138" t="s">
        <v>458</v>
      </c>
      <c r="E208" s="150"/>
      <c r="F208" s="90"/>
      <c r="G208" s="90"/>
      <c r="H208" s="90"/>
      <c r="I208" s="90"/>
      <c r="J208" s="90"/>
      <c r="K208" s="90"/>
      <c r="L208" s="90"/>
      <c r="M208" s="90"/>
      <c r="N208" s="90"/>
      <c r="O208" s="90"/>
      <c r="P208" s="90"/>
      <c r="Q208" s="90"/>
      <c r="R208" s="90"/>
      <c r="S208" s="90"/>
      <c r="T208" s="90"/>
      <c r="U208" s="90"/>
      <c r="V208" s="90"/>
      <c r="W208" s="90"/>
      <c r="X208" s="90"/>
      <c r="Y208" s="90"/>
      <c r="Z208" s="90"/>
      <c r="AA208" s="90"/>
      <c r="AB208" s="90"/>
      <c r="AC208" s="90"/>
      <c r="AD208" s="89"/>
      <c r="AE208" s="115">
        <v>35</v>
      </c>
      <c r="AF208" s="91"/>
      <c r="AG208" s="1156"/>
      <c r="AH208" s="1156"/>
      <c r="AI208" s="1156"/>
      <c r="AJ208" s="1156"/>
      <c r="AK208" s="1156"/>
      <c r="AL208" s="223" t="s">
        <v>854</v>
      </c>
      <c r="AM208" s="83"/>
    </row>
    <row r="209" spans="2:39" ht="14.1" customHeight="1">
      <c r="B209" s="1287"/>
      <c r="C209" s="148">
        <v>36</v>
      </c>
      <c r="D209" s="276" t="s">
        <v>301</v>
      </c>
      <c r="E209" s="136"/>
      <c r="AE209" s="115">
        <v>36</v>
      </c>
      <c r="AF209" s="91"/>
      <c r="AG209" s="1156"/>
      <c r="AH209" s="1156"/>
      <c r="AI209" s="1156"/>
      <c r="AJ209" s="1156"/>
      <c r="AK209" s="1156"/>
      <c r="AL209" s="223" t="s">
        <v>854</v>
      </c>
      <c r="AM209" s="83"/>
    </row>
    <row r="210" spans="2:39" ht="14.1" customHeight="1">
      <c r="B210" s="1287"/>
      <c r="C210" s="148">
        <v>37</v>
      </c>
      <c r="D210" s="138" t="s">
        <v>302</v>
      </c>
      <c r="E210" s="150"/>
      <c r="F210" s="90"/>
      <c r="G210" s="90"/>
      <c r="H210" s="90"/>
      <c r="I210" s="90"/>
      <c r="J210" s="90"/>
      <c r="K210" s="90"/>
      <c r="L210" s="90"/>
      <c r="M210" s="90"/>
      <c r="N210" s="90"/>
      <c r="O210" s="90"/>
      <c r="P210" s="90"/>
      <c r="Q210" s="90"/>
      <c r="R210" s="90"/>
      <c r="S210" s="90"/>
      <c r="T210" s="90"/>
      <c r="U210" s="90"/>
      <c r="V210" s="90"/>
      <c r="W210" s="90"/>
      <c r="X210" s="90"/>
      <c r="Y210" s="90"/>
      <c r="Z210" s="90"/>
      <c r="AA210" s="90"/>
      <c r="AB210" s="90"/>
      <c r="AC210" s="90"/>
      <c r="AD210" s="89"/>
      <c r="AE210" s="115">
        <v>37</v>
      </c>
      <c r="AF210" s="91"/>
      <c r="AG210" s="1156"/>
      <c r="AH210" s="1156"/>
      <c r="AI210" s="1156"/>
      <c r="AJ210" s="1156"/>
      <c r="AK210" s="1156"/>
      <c r="AL210" s="223" t="s">
        <v>854</v>
      </c>
      <c r="AM210" s="83"/>
    </row>
    <row r="211" spans="2:39" ht="14.1" customHeight="1">
      <c r="B211" s="1287"/>
      <c r="C211" s="148">
        <v>38</v>
      </c>
      <c r="D211" s="136" t="s">
        <v>211</v>
      </c>
      <c r="E211" s="136"/>
      <c r="AE211" s="115">
        <v>38</v>
      </c>
      <c r="AF211" s="91"/>
      <c r="AG211" s="1156"/>
      <c r="AH211" s="1156"/>
      <c r="AI211" s="1156"/>
      <c r="AJ211" s="1156"/>
      <c r="AK211" s="1156"/>
      <c r="AL211" s="223" t="s">
        <v>854</v>
      </c>
      <c r="AM211" s="83"/>
    </row>
    <row r="212" spans="2:39" ht="14.1" customHeight="1">
      <c r="B212" s="1287"/>
      <c r="C212" s="148">
        <v>39</v>
      </c>
      <c r="D212" s="138" t="s">
        <v>303</v>
      </c>
      <c r="E212" s="150"/>
      <c r="F212" s="90"/>
      <c r="G212" s="90"/>
      <c r="H212" s="90"/>
      <c r="I212" s="90"/>
      <c r="J212" s="90"/>
      <c r="K212" s="90"/>
      <c r="L212" s="90"/>
      <c r="M212" s="90"/>
      <c r="N212" s="90"/>
      <c r="O212" s="90"/>
      <c r="P212" s="90"/>
      <c r="Q212" s="90"/>
      <c r="R212" s="90"/>
      <c r="S212" s="90"/>
      <c r="T212" s="90"/>
      <c r="U212" s="90"/>
      <c r="V212" s="90"/>
      <c r="W212" s="90"/>
      <c r="X212" s="90"/>
      <c r="Y212" s="90"/>
      <c r="Z212" s="90"/>
      <c r="AA212" s="90"/>
      <c r="AB212" s="90"/>
      <c r="AC212" s="90"/>
      <c r="AD212" s="89"/>
      <c r="AE212" s="115">
        <v>39</v>
      </c>
      <c r="AF212" s="91"/>
      <c r="AG212" s="1231"/>
      <c r="AH212" s="1231"/>
      <c r="AI212" s="1231"/>
      <c r="AJ212" s="1231"/>
      <c r="AK212" s="1231"/>
      <c r="AL212" s="223" t="s">
        <v>854</v>
      </c>
      <c r="AM212" s="83"/>
    </row>
    <row r="213" spans="2:39" ht="14.1" customHeight="1">
      <c r="B213" s="1287"/>
      <c r="C213" s="1265">
        <v>40</v>
      </c>
      <c r="D213" s="210" t="s">
        <v>459</v>
      </c>
      <c r="E213" s="163"/>
      <c r="F213" s="82"/>
      <c r="G213" s="82"/>
      <c r="H213" s="82"/>
      <c r="I213" s="82"/>
      <c r="J213" s="82"/>
      <c r="K213" s="82"/>
      <c r="L213" s="82"/>
      <c r="M213" s="82"/>
      <c r="N213" s="82"/>
      <c r="O213" s="82"/>
      <c r="P213" s="82"/>
      <c r="Q213" s="82"/>
      <c r="R213" s="82"/>
      <c r="S213" s="82"/>
      <c r="T213" s="82"/>
      <c r="U213" s="82"/>
      <c r="V213" s="82"/>
      <c r="W213" s="82"/>
      <c r="X213" s="82"/>
      <c r="Y213" s="82"/>
      <c r="Z213" s="82"/>
      <c r="AA213" s="82"/>
      <c r="AB213" s="82"/>
      <c r="AC213" s="82"/>
      <c r="AD213" s="81"/>
      <c r="AE213" s="1265">
        <v>40</v>
      </c>
      <c r="AF213" s="1159"/>
      <c r="AG213" s="1267">
        <v>0</v>
      </c>
      <c r="AH213" s="1267"/>
      <c r="AI213" s="1267"/>
      <c r="AJ213" s="1267"/>
      <c r="AK213" s="1267"/>
      <c r="AL213" s="1263" t="s">
        <v>854</v>
      </c>
      <c r="AM213" s="83"/>
    </row>
    <row r="214" spans="2:39" ht="14.1" customHeight="1">
      <c r="B214" s="1287"/>
      <c r="C214" s="1266"/>
      <c r="D214" s="217" t="s">
        <v>460</v>
      </c>
      <c r="E214" s="171"/>
      <c r="F214" s="80"/>
      <c r="G214" s="80"/>
      <c r="H214" s="80"/>
      <c r="I214" s="80"/>
      <c r="J214" s="80"/>
      <c r="K214" s="80"/>
      <c r="L214" s="80"/>
      <c r="M214" s="80"/>
      <c r="N214" s="80"/>
      <c r="O214" s="80"/>
      <c r="P214" s="80"/>
      <c r="Q214" s="80"/>
      <c r="R214" s="80"/>
      <c r="S214" s="80"/>
      <c r="T214" s="80"/>
      <c r="U214" s="80"/>
      <c r="V214" s="80"/>
      <c r="W214" s="80"/>
      <c r="X214" s="80"/>
      <c r="Y214" s="80"/>
      <c r="Z214" s="80"/>
      <c r="AA214" s="80"/>
      <c r="AB214" s="80"/>
      <c r="AC214" s="80"/>
      <c r="AD214" s="87"/>
      <c r="AE214" s="1266"/>
      <c r="AF214" s="1165"/>
      <c r="AG214" s="1268"/>
      <c r="AH214" s="1268"/>
      <c r="AI214" s="1268"/>
      <c r="AJ214" s="1268"/>
      <c r="AK214" s="1268"/>
      <c r="AL214" s="1264"/>
      <c r="AM214" s="83"/>
    </row>
    <row r="215" spans="2:39" ht="14.1" customHeight="1">
      <c r="B215" s="1287"/>
      <c r="C215" s="148">
        <v>41</v>
      </c>
      <c r="D215" s="276" t="s">
        <v>304</v>
      </c>
      <c r="E215" s="136"/>
      <c r="AE215" s="115">
        <v>41</v>
      </c>
      <c r="AF215" s="91"/>
      <c r="AG215" s="1158"/>
      <c r="AH215" s="1158"/>
      <c r="AI215" s="1158"/>
      <c r="AJ215" s="1158"/>
      <c r="AK215" s="1158"/>
      <c r="AL215" s="223" t="s">
        <v>854</v>
      </c>
      <c r="AM215" s="83"/>
    </row>
    <row r="216" spans="2:39" ht="14.1" customHeight="1">
      <c r="B216" s="1287"/>
      <c r="C216" s="148">
        <v>42</v>
      </c>
      <c r="D216" s="271" t="s">
        <v>825</v>
      </c>
      <c r="E216" s="150"/>
      <c r="F216" s="90"/>
      <c r="G216" s="90"/>
      <c r="H216" s="90"/>
      <c r="I216" s="90"/>
      <c r="J216" s="90"/>
      <c r="K216" s="90"/>
      <c r="L216" s="90"/>
      <c r="M216" s="90"/>
      <c r="N216" s="90"/>
      <c r="O216" s="90"/>
      <c r="P216" s="90"/>
      <c r="Q216" s="90"/>
      <c r="R216" s="90"/>
      <c r="S216" s="90"/>
      <c r="T216" s="90"/>
      <c r="U216" s="90"/>
      <c r="V216" s="90"/>
      <c r="W216" s="90"/>
      <c r="X216" s="90"/>
      <c r="Y216" s="90"/>
      <c r="Z216" s="90"/>
      <c r="AA216" s="90"/>
      <c r="AB216" s="90"/>
      <c r="AC216" s="90"/>
      <c r="AD216" s="89"/>
      <c r="AE216" s="115">
        <v>42</v>
      </c>
      <c r="AF216" s="91"/>
      <c r="AG216" s="1156"/>
      <c r="AH216" s="1156"/>
      <c r="AI216" s="1156"/>
      <c r="AJ216" s="1156"/>
      <c r="AK216" s="1156"/>
      <c r="AL216" s="223" t="s">
        <v>854</v>
      </c>
      <c r="AM216" s="83"/>
    </row>
    <row r="217" spans="2:39" ht="14.1" customHeight="1">
      <c r="B217" s="1288"/>
      <c r="C217" s="148">
        <v>43</v>
      </c>
      <c r="D217" s="136" t="s">
        <v>415</v>
      </c>
      <c r="E217" s="136"/>
      <c r="AE217" s="115">
        <v>43</v>
      </c>
      <c r="AF217" s="91"/>
      <c r="AG217" s="1156">
        <v>0</v>
      </c>
      <c r="AH217" s="1156"/>
      <c r="AI217" s="1156"/>
      <c r="AJ217" s="1156"/>
      <c r="AK217" s="1156"/>
      <c r="AL217" s="223" t="s">
        <v>854</v>
      </c>
      <c r="AM217" s="83"/>
    </row>
    <row r="218" spans="2:39" ht="14.1" customHeight="1">
      <c r="B218" s="1302" t="s">
        <v>316</v>
      </c>
      <c r="C218" s="161">
        <v>44</v>
      </c>
      <c r="D218" s="160" t="s">
        <v>305</v>
      </c>
      <c r="E218" s="150"/>
      <c r="F218" s="90"/>
      <c r="G218" s="90"/>
      <c r="H218" s="90"/>
      <c r="I218" s="90"/>
      <c r="J218" s="90"/>
      <c r="K218" s="90"/>
      <c r="L218" s="90"/>
      <c r="M218" s="90"/>
      <c r="N218" s="90"/>
      <c r="O218" s="90"/>
      <c r="P218" s="90"/>
      <c r="Q218" s="90"/>
      <c r="R218" s="90"/>
      <c r="S218" s="90"/>
      <c r="T218" s="90"/>
      <c r="U218" s="90"/>
      <c r="V218" s="90"/>
      <c r="W218" s="90"/>
      <c r="X218" s="90"/>
      <c r="Y218" s="90"/>
      <c r="Z218" s="90"/>
      <c r="AA218" s="90"/>
      <c r="AB218" s="90"/>
      <c r="AC218" s="90"/>
      <c r="AD218" s="89"/>
      <c r="AE218" s="115">
        <v>44</v>
      </c>
      <c r="AF218" s="91"/>
      <c r="AG218" s="1156"/>
      <c r="AH218" s="1156"/>
      <c r="AI218" s="1156"/>
      <c r="AJ218" s="1156"/>
      <c r="AK218" s="1156"/>
      <c r="AL218" s="223" t="s">
        <v>854</v>
      </c>
      <c r="AM218" s="83"/>
    </row>
    <row r="219" spans="2:39" ht="14.1" customHeight="1">
      <c r="B219" s="1303"/>
      <c r="C219" s="148">
        <v>45</v>
      </c>
      <c r="D219" s="136" t="s">
        <v>306</v>
      </c>
      <c r="E219" s="136"/>
      <c r="AE219" s="115">
        <v>45</v>
      </c>
      <c r="AF219" s="91"/>
      <c r="AG219" s="1156"/>
      <c r="AH219" s="1156"/>
      <c r="AI219" s="1156"/>
      <c r="AJ219" s="1156"/>
      <c r="AK219" s="1156"/>
      <c r="AL219" s="223" t="s">
        <v>854</v>
      </c>
      <c r="AM219" s="83"/>
    </row>
    <row r="220" spans="2:39" ht="14.1" customHeight="1">
      <c r="B220" s="1303"/>
      <c r="C220" s="148">
        <v>46</v>
      </c>
      <c r="D220" s="138" t="s">
        <v>416</v>
      </c>
      <c r="E220" s="150"/>
      <c r="F220" s="90"/>
      <c r="G220" s="90"/>
      <c r="H220" s="90"/>
      <c r="I220" s="90"/>
      <c r="J220" s="90"/>
      <c r="K220" s="90"/>
      <c r="L220" s="90"/>
      <c r="M220" s="90"/>
      <c r="N220" s="90"/>
      <c r="O220" s="90"/>
      <c r="P220" s="90"/>
      <c r="Q220" s="90"/>
      <c r="R220" s="90"/>
      <c r="S220" s="90"/>
      <c r="T220" s="90"/>
      <c r="U220" s="90"/>
      <c r="V220" s="90"/>
      <c r="W220" s="90"/>
      <c r="X220" s="90"/>
      <c r="Y220" s="90"/>
      <c r="Z220" s="90"/>
      <c r="AA220" s="90"/>
      <c r="AB220" s="90"/>
      <c r="AC220" s="90"/>
      <c r="AD220" s="89"/>
      <c r="AE220" s="115">
        <v>46</v>
      </c>
      <c r="AF220" s="91"/>
      <c r="AG220" s="1156">
        <v>0</v>
      </c>
      <c r="AH220" s="1156"/>
      <c r="AI220" s="1156"/>
      <c r="AJ220" s="1156"/>
      <c r="AK220" s="1156"/>
      <c r="AL220" s="223" t="s">
        <v>854</v>
      </c>
      <c r="AM220" s="83"/>
    </row>
    <row r="221" spans="2:39" ht="14.1" customHeight="1">
      <c r="B221" s="1303"/>
      <c r="C221" s="148">
        <v>47</v>
      </c>
      <c r="D221" s="136" t="s">
        <v>313</v>
      </c>
      <c r="E221" s="136"/>
      <c r="AE221" s="115">
        <v>47</v>
      </c>
      <c r="AF221" s="91"/>
      <c r="AG221" s="1156"/>
      <c r="AH221" s="1156"/>
      <c r="AI221" s="1156"/>
      <c r="AJ221" s="1156"/>
      <c r="AK221" s="1156"/>
      <c r="AL221" s="223" t="s">
        <v>854</v>
      </c>
      <c r="AM221" s="83"/>
    </row>
    <row r="222" spans="2:39" ht="14.1" customHeight="1">
      <c r="B222" s="1303"/>
      <c r="C222" s="148">
        <v>48</v>
      </c>
      <c r="D222" s="138" t="s">
        <v>461</v>
      </c>
      <c r="E222" s="150"/>
      <c r="F222" s="90"/>
      <c r="G222" s="90"/>
      <c r="H222" s="90"/>
      <c r="I222" s="90"/>
      <c r="J222" s="90"/>
      <c r="K222" s="90"/>
      <c r="L222" s="90"/>
      <c r="M222" s="90"/>
      <c r="N222" s="90"/>
      <c r="O222" s="90"/>
      <c r="P222" s="90"/>
      <c r="Q222" s="90"/>
      <c r="R222" s="90"/>
      <c r="S222" s="90"/>
      <c r="T222" s="90"/>
      <c r="U222" s="90"/>
      <c r="V222" s="90"/>
      <c r="W222" s="90"/>
      <c r="X222" s="90"/>
      <c r="Y222" s="90"/>
      <c r="Z222" s="90"/>
      <c r="AA222" s="90"/>
      <c r="AB222" s="90"/>
      <c r="AC222" s="90"/>
      <c r="AD222" s="89"/>
      <c r="AE222" s="115">
        <v>48</v>
      </c>
      <c r="AF222" s="91"/>
      <c r="AG222" s="1156">
        <v>0</v>
      </c>
      <c r="AH222" s="1156"/>
      <c r="AI222" s="1156"/>
      <c r="AJ222" s="1156"/>
      <c r="AK222" s="1156"/>
      <c r="AL222" s="223" t="s">
        <v>854</v>
      </c>
      <c r="AM222" s="83"/>
    </row>
    <row r="223" spans="2:39" ht="14.1" customHeight="1">
      <c r="B223" s="1303"/>
      <c r="C223" s="148">
        <v>49</v>
      </c>
      <c r="D223" s="136" t="s">
        <v>307</v>
      </c>
      <c r="E223" s="136"/>
      <c r="AE223" s="115">
        <v>49</v>
      </c>
      <c r="AF223" s="91"/>
      <c r="AG223" s="1156"/>
      <c r="AH223" s="1156"/>
      <c r="AI223" s="1156"/>
      <c r="AJ223" s="1156"/>
      <c r="AK223" s="1156"/>
      <c r="AL223" s="223" t="s">
        <v>854</v>
      </c>
      <c r="AM223" s="83"/>
    </row>
    <row r="224" spans="2:39" ht="14.1" customHeight="1">
      <c r="B224" s="1304"/>
      <c r="C224" s="104">
        <v>50</v>
      </c>
      <c r="D224" s="138" t="s">
        <v>462</v>
      </c>
      <c r="E224" s="150"/>
      <c r="F224" s="90"/>
      <c r="G224" s="90"/>
      <c r="H224" s="90"/>
      <c r="I224" s="90"/>
      <c r="J224" s="90"/>
      <c r="K224" s="90"/>
      <c r="L224" s="90"/>
      <c r="M224" s="90"/>
      <c r="N224" s="90"/>
      <c r="O224" s="90"/>
      <c r="P224" s="90"/>
      <c r="Q224" s="90"/>
      <c r="R224" s="90"/>
      <c r="S224" s="90"/>
      <c r="T224" s="90"/>
      <c r="U224" s="90"/>
      <c r="V224" s="90"/>
      <c r="W224" s="90"/>
      <c r="X224" s="90"/>
      <c r="Y224" s="90"/>
      <c r="Z224" s="90"/>
      <c r="AA224" s="90"/>
      <c r="AB224" s="90"/>
      <c r="AC224" s="90"/>
      <c r="AD224" s="89"/>
      <c r="AE224" s="115">
        <v>50</v>
      </c>
      <c r="AF224" s="91"/>
      <c r="AG224" s="1156">
        <v>0</v>
      </c>
      <c r="AH224" s="1156"/>
      <c r="AI224" s="1156"/>
      <c r="AJ224" s="1156"/>
      <c r="AK224" s="1156"/>
      <c r="AL224" s="223" t="s">
        <v>854</v>
      </c>
      <c r="AM224" s="83"/>
    </row>
    <row r="225" spans="2:39" ht="41.25" customHeight="1">
      <c r="B225" s="1299" t="s">
        <v>30</v>
      </c>
      <c r="C225" s="157">
        <v>51</v>
      </c>
      <c r="D225" s="1240" t="s">
        <v>314</v>
      </c>
      <c r="E225" s="1241"/>
      <c r="F225" s="1241"/>
      <c r="G225" s="1241"/>
      <c r="H225" s="1241"/>
      <c r="I225" s="1241"/>
      <c r="J225" s="1241"/>
      <c r="K225" s="1241"/>
      <c r="L225" s="1241"/>
      <c r="M225" s="1241"/>
      <c r="N225" s="1241"/>
      <c r="O225" s="1241"/>
      <c r="P225" s="1241"/>
      <c r="Q225" s="1241"/>
      <c r="R225" s="1241"/>
      <c r="S225" s="1241"/>
      <c r="T225" s="1241"/>
      <c r="U225" s="1241"/>
      <c r="V225" s="1241"/>
      <c r="W225" s="1241"/>
      <c r="X225" s="1241"/>
      <c r="Y225" s="1241"/>
      <c r="Z225" s="1241"/>
      <c r="AA225" s="1241"/>
      <c r="AB225" s="1241"/>
      <c r="AC225" s="1241"/>
      <c r="AE225" s="1169"/>
      <c r="AF225" s="1170"/>
      <c r="AG225" s="1170"/>
      <c r="AH225" s="1170"/>
      <c r="AI225" s="1170"/>
      <c r="AJ225" s="1170"/>
      <c r="AK225" s="1170"/>
      <c r="AL225" s="1170"/>
      <c r="AM225" s="83"/>
    </row>
    <row r="226" spans="2:39" ht="15" customHeight="1">
      <c r="B226" s="1300"/>
      <c r="C226" s="1217"/>
      <c r="D226" s="143" t="s">
        <v>613</v>
      </c>
      <c r="E226" s="138" t="s">
        <v>308</v>
      </c>
      <c r="F226" s="90"/>
      <c r="G226" s="90"/>
      <c r="H226" s="90"/>
      <c r="I226" s="90"/>
      <c r="J226" s="90"/>
      <c r="K226" s="90"/>
      <c r="L226" s="90"/>
      <c r="M226" s="90"/>
      <c r="N226" s="90"/>
      <c r="O226" s="90"/>
      <c r="P226" s="90"/>
      <c r="Q226" s="90"/>
      <c r="R226" s="90"/>
      <c r="S226" s="90"/>
      <c r="T226" s="90"/>
      <c r="U226" s="90"/>
      <c r="V226" s="90"/>
      <c r="W226" s="90"/>
      <c r="X226" s="90"/>
      <c r="Y226" s="90"/>
      <c r="Z226" s="90"/>
      <c r="AA226" s="90"/>
      <c r="AB226" s="90"/>
      <c r="AC226" s="90"/>
      <c r="AD226" s="89"/>
      <c r="AE226" s="115" t="s">
        <v>178</v>
      </c>
      <c r="AF226" s="91"/>
      <c r="AG226" s="1199">
        <v>0</v>
      </c>
      <c r="AH226" s="1199"/>
      <c r="AI226" s="1199"/>
      <c r="AJ226" s="1199"/>
      <c r="AK226" s="1199"/>
      <c r="AL226" s="223" t="s">
        <v>854</v>
      </c>
      <c r="AM226" s="83"/>
    </row>
    <row r="227" spans="2:39" ht="15" customHeight="1">
      <c r="B227" s="1300"/>
      <c r="C227" s="1218"/>
      <c r="D227" s="148" t="s">
        <v>615</v>
      </c>
      <c r="E227" s="150" t="s">
        <v>309</v>
      </c>
      <c r="F227" s="90"/>
      <c r="G227" s="90"/>
      <c r="H227" s="90"/>
      <c r="I227" s="90"/>
      <c r="J227" s="90"/>
      <c r="K227" s="90"/>
      <c r="L227" s="90"/>
      <c r="M227" s="90"/>
      <c r="N227" s="90"/>
      <c r="O227" s="90"/>
      <c r="P227" s="90"/>
      <c r="Q227" s="90"/>
      <c r="R227" s="90"/>
      <c r="S227" s="90"/>
      <c r="T227" s="90"/>
      <c r="U227" s="90"/>
      <c r="V227" s="90"/>
      <c r="W227" s="90"/>
      <c r="X227" s="90"/>
      <c r="Y227" s="90"/>
      <c r="Z227" s="90"/>
      <c r="AA227" s="90"/>
      <c r="AB227" s="90"/>
      <c r="AC227" s="90"/>
      <c r="AD227" s="89"/>
      <c r="AE227" s="115" t="s">
        <v>179</v>
      </c>
      <c r="AF227" s="91"/>
      <c r="AG227" s="1199">
        <v>0</v>
      </c>
      <c r="AH227" s="1199"/>
      <c r="AI227" s="1199"/>
      <c r="AJ227" s="1199"/>
      <c r="AK227" s="1199"/>
      <c r="AL227" s="223" t="s">
        <v>854</v>
      </c>
      <c r="AM227" s="83"/>
    </row>
    <row r="228" spans="2:39" ht="15" customHeight="1">
      <c r="B228" s="1300"/>
      <c r="C228" s="1218"/>
      <c r="D228" s="145" t="s">
        <v>617</v>
      </c>
      <c r="E228" s="136" t="s">
        <v>824</v>
      </c>
      <c r="AE228" s="115" t="s">
        <v>180</v>
      </c>
      <c r="AF228" s="91"/>
      <c r="AG228" s="1199">
        <v>0</v>
      </c>
      <c r="AH228" s="1199"/>
      <c r="AI228" s="1199"/>
      <c r="AJ228" s="1199"/>
      <c r="AK228" s="1199"/>
      <c r="AL228" s="223" t="s">
        <v>854</v>
      </c>
      <c r="AM228" s="83"/>
    </row>
    <row r="229" spans="2:39" ht="15" customHeight="1">
      <c r="B229" s="1301"/>
      <c r="C229" s="1219"/>
      <c r="D229" s="148" t="s">
        <v>619</v>
      </c>
      <c r="E229" s="138" t="s">
        <v>310</v>
      </c>
      <c r="F229" s="90"/>
      <c r="G229" s="90"/>
      <c r="H229" s="90"/>
      <c r="I229" s="90"/>
      <c r="J229" s="90"/>
      <c r="K229" s="90"/>
      <c r="L229" s="90"/>
      <c r="M229" s="90"/>
      <c r="N229" s="90"/>
      <c r="O229" s="90"/>
      <c r="P229" s="90"/>
      <c r="Q229" s="90"/>
      <c r="R229" s="90"/>
      <c r="S229" s="90"/>
      <c r="T229" s="90"/>
      <c r="U229" s="90"/>
      <c r="V229" s="90"/>
      <c r="W229" s="90"/>
      <c r="X229" s="90"/>
      <c r="Y229" s="90"/>
      <c r="Z229" s="90"/>
      <c r="AA229" s="90"/>
      <c r="AB229" s="90"/>
      <c r="AC229" s="90"/>
      <c r="AD229" s="89"/>
      <c r="AE229" s="115" t="s">
        <v>181</v>
      </c>
      <c r="AF229" s="91"/>
      <c r="AG229" s="1291">
        <v>0</v>
      </c>
      <c r="AH229" s="1199"/>
      <c r="AI229" s="1199"/>
      <c r="AJ229" s="1199"/>
      <c r="AK229" s="1199"/>
      <c r="AL229" s="223" t="s">
        <v>854</v>
      </c>
      <c r="AM229" s="83"/>
    </row>
    <row r="230" spans="2:39" ht="15.75" customHeight="1">
      <c r="B230" s="181" t="s">
        <v>463</v>
      </c>
      <c r="C230" s="181"/>
      <c r="D230" s="181"/>
      <c r="E230" s="181"/>
      <c r="F230" s="181"/>
      <c r="G230" s="227" t="s">
        <v>464</v>
      </c>
      <c r="H230" s="90"/>
      <c r="I230" s="90"/>
      <c r="J230" s="90"/>
      <c r="K230" s="90"/>
      <c r="L230" s="90"/>
      <c r="M230" s="90"/>
      <c r="N230" s="90"/>
      <c r="O230" s="90"/>
      <c r="P230" s="90"/>
      <c r="Q230" s="90"/>
      <c r="R230" s="90"/>
      <c r="S230" s="90"/>
      <c r="T230" s="90"/>
      <c r="U230" s="90"/>
      <c r="V230" s="90"/>
      <c r="W230" s="90"/>
      <c r="X230" s="90"/>
      <c r="Y230" s="90"/>
      <c r="Z230" s="90"/>
      <c r="AA230" s="90"/>
      <c r="AB230" s="90"/>
      <c r="AC230" s="90"/>
      <c r="AD230" s="90"/>
      <c r="AE230" s="90"/>
      <c r="AF230" s="91"/>
      <c r="AG230" s="90"/>
      <c r="AH230" s="90"/>
      <c r="AI230" s="90"/>
      <c r="AJ230" s="90"/>
      <c r="AK230" s="90"/>
      <c r="AL230" s="90"/>
    </row>
    <row r="231" spans="2:39" ht="3" customHeight="1">
      <c r="B231" s="122"/>
      <c r="C231" s="228"/>
      <c r="D231" s="122"/>
      <c r="E231" s="122"/>
      <c r="F231" s="122"/>
      <c r="G231" s="186"/>
      <c r="AM231" s="83"/>
    </row>
    <row r="232" spans="2:39" ht="15" customHeight="1">
      <c r="B232" s="1276" t="s">
        <v>606</v>
      </c>
      <c r="C232" s="187">
        <v>1</v>
      </c>
      <c r="D232" s="178" t="s">
        <v>417</v>
      </c>
      <c r="E232" s="178"/>
      <c r="U232" s="94" t="s">
        <v>515</v>
      </c>
      <c r="X232" s="104"/>
      <c r="Y232" s="78" t="s">
        <v>418</v>
      </c>
      <c r="AD232" s="104"/>
      <c r="AE232" s="92" t="s">
        <v>419</v>
      </c>
      <c r="AM232" s="83"/>
    </row>
    <row r="233" spans="2:39" ht="3" customHeight="1">
      <c r="B233" s="1276"/>
      <c r="C233" s="174"/>
      <c r="D233" s="175"/>
      <c r="E233" s="175"/>
      <c r="F233" s="80"/>
      <c r="G233" s="80"/>
      <c r="H233" s="80"/>
      <c r="I233" s="80"/>
      <c r="J233" s="80"/>
      <c r="K233" s="80"/>
      <c r="L233" s="80"/>
      <c r="M233" s="80"/>
      <c r="N233" s="80"/>
      <c r="O233" s="80"/>
      <c r="P233" s="80"/>
      <c r="Q233" s="80"/>
      <c r="R233" s="80"/>
      <c r="S233" s="80"/>
      <c r="T233" s="80"/>
      <c r="U233" s="80"/>
      <c r="V233" s="80"/>
      <c r="W233" s="80"/>
      <c r="X233" s="80"/>
      <c r="Y233" s="80"/>
      <c r="Z233" s="80"/>
      <c r="AA233" s="80"/>
      <c r="AB233" s="80"/>
      <c r="AC233" s="80"/>
      <c r="AD233" s="80"/>
      <c r="AE233" s="86"/>
      <c r="AF233" s="86"/>
      <c r="AG233" s="80"/>
      <c r="AH233" s="80"/>
      <c r="AI233" s="80"/>
      <c r="AJ233" s="80"/>
      <c r="AK233" s="80"/>
      <c r="AL233" s="80"/>
      <c r="AM233" s="83"/>
    </row>
    <row r="234" spans="2:39" ht="3" customHeight="1">
      <c r="B234" s="1276"/>
      <c r="C234" s="187"/>
      <c r="D234" s="178"/>
      <c r="E234" s="178"/>
      <c r="AE234" s="79"/>
      <c r="AM234" s="83"/>
    </row>
    <row r="235" spans="2:39" ht="14.1" customHeight="1">
      <c r="B235" s="1276"/>
      <c r="C235" s="187">
        <v>2</v>
      </c>
      <c r="D235" s="178" t="s">
        <v>420</v>
      </c>
      <c r="E235" s="178"/>
      <c r="U235" s="94" t="s">
        <v>515</v>
      </c>
      <c r="X235" s="104"/>
      <c r="Y235" s="78" t="s">
        <v>488</v>
      </c>
      <c r="AD235" s="104"/>
      <c r="AE235" s="79" t="s">
        <v>489</v>
      </c>
      <c r="AM235" s="83"/>
    </row>
    <row r="236" spans="2:39" ht="3" customHeight="1">
      <c r="B236" s="1276"/>
      <c r="C236" s="174"/>
      <c r="D236" s="175"/>
      <c r="E236" s="175"/>
      <c r="F236" s="80"/>
      <c r="G236" s="80"/>
      <c r="H236" s="80"/>
      <c r="I236" s="80"/>
      <c r="J236" s="80"/>
      <c r="K236" s="80"/>
      <c r="L236" s="80"/>
      <c r="M236" s="80"/>
      <c r="N236" s="80"/>
      <c r="O236" s="80"/>
      <c r="P236" s="80"/>
      <c r="Q236" s="80"/>
      <c r="R236" s="80"/>
      <c r="S236" s="80"/>
      <c r="T236" s="80"/>
      <c r="U236" s="80"/>
      <c r="V236" s="80"/>
      <c r="W236" s="80"/>
      <c r="X236" s="80"/>
      <c r="Y236" s="80"/>
      <c r="Z236" s="80"/>
      <c r="AA236" s="80"/>
      <c r="AB236" s="80"/>
      <c r="AC236" s="80"/>
      <c r="AD236" s="80"/>
      <c r="AE236" s="86"/>
      <c r="AF236" s="86"/>
      <c r="AG236" s="80"/>
      <c r="AH236" s="80"/>
      <c r="AI236" s="80"/>
      <c r="AJ236" s="80"/>
      <c r="AK236" s="80"/>
      <c r="AL236" s="80"/>
      <c r="AM236" s="83"/>
    </row>
    <row r="237" spans="2:39" ht="29.25" customHeight="1">
      <c r="B237" s="1276"/>
      <c r="C237" s="222">
        <v>3</v>
      </c>
      <c r="D237" s="1259" t="s">
        <v>202</v>
      </c>
      <c r="E237" s="1260"/>
      <c r="F237" s="1260"/>
      <c r="G237" s="1260"/>
      <c r="H237" s="1260"/>
      <c r="I237" s="1260"/>
      <c r="J237" s="1260"/>
      <c r="K237" s="1260"/>
      <c r="L237" s="1260"/>
      <c r="M237" s="1260"/>
      <c r="N237" s="1260"/>
      <c r="O237" s="1260"/>
      <c r="P237" s="1260"/>
      <c r="Q237" s="1260"/>
      <c r="R237" s="1260"/>
      <c r="S237" s="1260"/>
      <c r="T237" s="1260"/>
      <c r="U237" s="1260"/>
      <c r="V237" s="1260"/>
      <c r="W237" s="1260"/>
      <c r="X237" s="1260"/>
      <c r="Y237" s="1260"/>
      <c r="Z237" s="1260"/>
      <c r="AA237" s="1260"/>
      <c r="AB237" s="1260"/>
      <c r="AC237" s="1260"/>
      <c r="AE237" s="103">
        <v>3</v>
      </c>
      <c r="AG237" s="1156"/>
      <c r="AH237" s="1156"/>
      <c r="AI237" s="1156"/>
      <c r="AJ237" s="1156"/>
      <c r="AK237" s="1156"/>
      <c r="AL237" s="231" t="s">
        <v>854</v>
      </c>
      <c r="AM237" s="83"/>
    </row>
    <row r="238" spans="2:39">
      <c r="B238" s="1276"/>
      <c r="C238" s="148">
        <v>4</v>
      </c>
      <c r="D238" s="151" t="s">
        <v>203</v>
      </c>
      <c r="E238" s="150"/>
      <c r="F238" s="90"/>
      <c r="G238" s="90"/>
      <c r="H238" s="90"/>
      <c r="I238" s="90"/>
      <c r="J238" s="90"/>
      <c r="K238" s="90"/>
      <c r="L238" s="90"/>
      <c r="M238" s="90"/>
      <c r="N238" s="90"/>
      <c r="O238" s="90"/>
      <c r="P238" s="90"/>
      <c r="Q238" s="90"/>
      <c r="R238" s="90"/>
      <c r="S238" s="90"/>
      <c r="T238" s="90"/>
      <c r="U238" s="90"/>
      <c r="V238" s="90"/>
      <c r="W238" s="90"/>
      <c r="X238" s="90"/>
      <c r="Y238" s="90"/>
      <c r="Z238" s="90"/>
      <c r="AA238" s="90"/>
      <c r="AB238" s="90"/>
      <c r="AC238" s="90"/>
      <c r="AD238" s="90"/>
      <c r="AE238" s="91"/>
      <c r="AF238" s="91"/>
      <c r="AG238" s="90"/>
      <c r="AH238" s="90"/>
      <c r="AI238" s="90"/>
      <c r="AJ238" s="90"/>
      <c r="AK238" s="90"/>
      <c r="AL238" s="90"/>
      <c r="AM238" s="83"/>
    </row>
    <row r="239" spans="2:39" ht="3" customHeight="1">
      <c r="B239" s="1276"/>
      <c r="C239" s="153"/>
      <c r="D239" s="142"/>
      <c r="E239" s="136"/>
      <c r="AE239" s="79"/>
      <c r="AM239" s="83"/>
    </row>
    <row r="240" spans="2:39" ht="14.1" customHeight="1">
      <c r="B240" s="1276"/>
      <c r="C240" s="1215"/>
      <c r="D240" s="153" t="s">
        <v>613</v>
      </c>
      <c r="E240" s="182" t="s">
        <v>204</v>
      </c>
      <c r="AE240" s="79"/>
      <c r="AJ240" s="104"/>
      <c r="AM240" s="83"/>
    </row>
    <row r="241" spans="2:39" ht="3" customHeight="1">
      <c r="B241" s="1276"/>
      <c r="C241" s="1215"/>
      <c r="D241" s="176"/>
      <c r="E241" s="188"/>
      <c r="F241" s="80"/>
      <c r="G241" s="80"/>
      <c r="H241" s="80"/>
      <c r="I241" s="80"/>
      <c r="J241" s="80"/>
      <c r="K241" s="80"/>
      <c r="L241" s="80"/>
      <c r="M241" s="80"/>
      <c r="N241" s="80"/>
      <c r="O241" s="80"/>
      <c r="P241" s="80"/>
      <c r="Q241" s="80"/>
      <c r="R241" s="80"/>
      <c r="S241" s="80"/>
      <c r="T241" s="80"/>
      <c r="U241" s="80"/>
      <c r="V241" s="80"/>
      <c r="W241" s="80"/>
      <c r="X241" s="80"/>
      <c r="Y241" s="80"/>
      <c r="Z241" s="80"/>
      <c r="AA241" s="80"/>
      <c r="AB241" s="80"/>
      <c r="AC241" s="80"/>
      <c r="AD241" s="80"/>
      <c r="AE241" s="86"/>
      <c r="AF241" s="86"/>
      <c r="AG241" s="80"/>
      <c r="AH241" s="80"/>
      <c r="AI241" s="80"/>
      <c r="AJ241" s="80"/>
      <c r="AK241" s="80"/>
      <c r="AL241" s="80"/>
      <c r="AM241" s="83"/>
    </row>
    <row r="242" spans="2:39" ht="3" customHeight="1">
      <c r="B242" s="1276"/>
      <c r="C242" s="1215"/>
      <c r="D242" s="180"/>
      <c r="E242" s="182"/>
      <c r="AE242" s="79"/>
      <c r="AM242" s="83"/>
    </row>
    <row r="243" spans="2:39" ht="15" customHeight="1">
      <c r="B243" s="1276"/>
      <c r="C243" s="1215"/>
      <c r="D243" s="208" t="s">
        <v>615</v>
      </c>
      <c r="E243" s="182" t="s">
        <v>465</v>
      </c>
      <c r="AE243" s="79"/>
      <c r="AJ243" s="104"/>
      <c r="AM243" s="83"/>
    </row>
    <row r="244" spans="2:39" ht="3" customHeight="1">
      <c r="B244" s="87"/>
      <c r="C244" s="102"/>
      <c r="D244" s="102"/>
      <c r="E244" s="80"/>
      <c r="F244" s="80"/>
      <c r="G244" s="80"/>
      <c r="H244" s="80"/>
      <c r="I244" s="80"/>
      <c r="J244" s="80"/>
      <c r="K244" s="80"/>
      <c r="L244" s="80"/>
      <c r="M244" s="80"/>
      <c r="N244" s="80"/>
      <c r="O244" s="80"/>
      <c r="P244" s="80"/>
      <c r="Q244" s="80"/>
      <c r="R244" s="80"/>
      <c r="S244" s="80"/>
      <c r="T244" s="80"/>
      <c r="U244" s="80"/>
      <c r="V244" s="80"/>
      <c r="W244" s="80"/>
      <c r="X244" s="80"/>
      <c r="Y244" s="80"/>
      <c r="Z244" s="80"/>
      <c r="AA244" s="80"/>
      <c r="AB244" s="80"/>
      <c r="AC244" s="80"/>
      <c r="AD244" s="80"/>
      <c r="AE244" s="86"/>
      <c r="AF244" s="86"/>
      <c r="AG244" s="80"/>
      <c r="AH244" s="80"/>
      <c r="AI244" s="80"/>
      <c r="AJ244" s="80"/>
      <c r="AK244" s="80"/>
      <c r="AL244" s="80"/>
      <c r="AM244" s="83"/>
    </row>
    <row r="245" spans="2:39" ht="15" customHeight="1">
      <c r="AE245" s="125" t="s">
        <v>492</v>
      </c>
      <c r="AF245" s="1168" t="s">
        <v>907</v>
      </c>
      <c r="AG245" s="1168"/>
      <c r="AH245" s="1168"/>
      <c r="AI245" s="1168"/>
      <c r="AJ245" s="132" t="s">
        <v>844</v>
      </c>
      <c r="AK245" s="131"/>
      <c r="AL245" s="133">
        <v>9.06</v>
      </c>
    </row>
    <row r="246" spans="2:39" ht="3" customHeight="1">
      <c r="B246" s="80"/>
      <c r="C246" s="80"/>
      <c r="D246" s="80"/>
      <c r="E246" s="80"/>
      <c r="F246" s="80"/>
      <c r="G246" s="80"/>
      <c r="H246" s="80"/>
      <c r="I246" s="80"/>
      <c r="J246" s="80"/>
      <c r="K246" s="80"/>
      <c r="L246" s="80"/>
      <c r="M246" s="80"/>
      <c r="N246" s="80"/>
      <c r="O246" s="80"/>
      <c r="P246" s="80"/>
      <c r="Q246" s="80"/>
      <c r="R246" s="80"/>
      <c r="S246" s="80"/>
      <c r="T246" s="80"/>
      <c r="U246" s="80"/>
      <c r="V246" s="80"/>
      <c r="W246" s="80"/>
      <c r="X246" s="80"/>
      <c r="Y246" s="80"/>
      <c r="Z246" s="80"/>
      <c r="AA246" s="80"/>
      <c r="AB246" s="80"/>
      <c r="AC246" s="80"/>
      <c r="AD246" s="80"/>
      <c r="AE246" s="86"/>
      <c r="AF246" s="86"/>
      <c r="AG246" s="80"/>
      <c r="AH246" s="80"/>
      <c r="AI246" s="80"/>
      <c r="AJ246" s="80"/>
      <c r="AK246" s="80"/>
      <c r="AL246" s="80"/>
    </row>
    <row r="247" spans="2:39" ht="3" customHeight="1">
      <c r="C247" s="99"/>
      <c r="D247" s="99"/>
      <c r="AE247" s="79"/>
      <c r="AM247" s="83"/>
    </row>
    <row r="248" spans="2:39" ht="14.1" customHeight="1">
      <c r="B248" s="1163"/>
      <c r="C248" s="1215"/>
      <c r="D248" s="108" t="s">
        <v>617</v>
      </c>
      <c r="E248" s="136" t="s">
        <v>826</v>
      </c>
      <c r="U248" s="94" t="s">
        <v>515</v>
      </c>
      <c r="X248" s="104"/>
      <c r="Y248" s="78" t="s">
        <v>488</v>
      </c>
      <c r="AB248" s="104"/>
      <c r="AD248" s="79" t="s">
        <v>489</v>
      </c>
      <c r="AM248" s="83"/>
    </row>
    <row r="249" spans="2:39" ht="3" customHeight="1">
      <c r="B249" s="1163"/>
      <c r="C249" s="1162"/>
      <c r="D249" s="109"/>
      <c r="E249" s="171"/>
      <c r="F249" s="80"/>
      <c r="G249" s="80"/>
      <c r="H249" s="80"/>
      <c r="I249" s="80"/>
      <c r="J249" s="80"/>
      <c r="K249" s="80"/>
      <c r="L249" s="80"/>
      <c r="M249" s="80"/>
      <c r="N249" s="80"/>
      <c r="O249" s="80"/>
      <c r="P249" s="80"/>
      <c r="Q249" s="80"/>
      <c r="R249" s="80"/>
      <c r="S249" s="80"/>
      <c r="T249" s="80"/>
      <c r="U249" s="98"/>
      <c r="V249" s="80"/>
      <c r="W249" s="80"/>
      <c r="X249" s="80"/>
      <c r="Y249" s="80"/>
      <c r="Z249" s="80"/>
      <c r="AA249" s="80"/>
      <c r="AB249" s="80"/>
      <c r="AC249" s="80"/>
      <c r="AD249" s="86"/>
      <c r="AM249" s="83"/>
    </row>
    <row r="250" spans="2:39" ht="23.25" customHeight="1">
      <c r="B250" s="1163"/>
      <c r="C250" s="1216"/>
      <c r="D250" s="103" t="s">
        <v>619</v>
      </c>
      <c r="E250" s="1179" t="s">
        <v>472</v>
      </c>
      <c r="F250" s="1180"/>
      <c r="G250" s="1180"/>
      <c r="H250" s="1180"/>
      <c r="I250" s="1180"/>
      <c r="J250" s="1180"/>
      <c r="K250" s="1180"/>
      <c r="L250" s="1180"/>
      <c r="M250" s="1180"/>
      <c r="N250" s="1180"/>
      <c r="O250" s="1180"/>
      <c r="P250" s="1180"/>
      <c r="Q250" s="1180"/>
      <c r="R250" s="1180"/>
      <c r="S250" s="1180"/>
      <c r="T250" s="1180"/>
      <c r="U250" s="1180"/>
      <c r="V250" s="1180"/>
      <c r="W250" s="1180"/>
      <c r="X250" s="1180"/>
      <c r="Y250" s="1180"/>
      <c r="Z250" s="1180"/>
      <c r="AA250" s="1180"/>
      <c r="AB250" s="1180"/>
      <c r="AE250" s="100" t="s">
        <v>28</v>
      </c>
      <c r="AF250" s="91"/>
      <c r="AG250" s="1156"/>
      <c r="AH250" s="1156"/>
      <c r="AI250" s="1156"/>
      <c r="AJ250" s="1156"/>
      <c r="AK250" s="1156"/>
      <c r="AL250" s="223" t="s">
        <v>854</v>
      </c>
      <c r="AM250" s="83"/>
    </row>
    <row r="251" spans="2:39">
      <c r="B251" s="1163"/>
      <c r="C251" s="115">
        <v>5</v>
      </c>
      <c r="D251" s="138" t="s">
        <v>470</v>
      </c>
      <c r="E251" s="90"/>
      <c r="F251" s="90"/>
      <c r="G251" s="90"/>
      <c r="H251" s="90"/>
      <c r="I251" s="90"/>
      <c r="J251" s="90"/>
      <c r="K251" s="90"/>
      <c r="L251" s="90"/>
      <c r="M251" s="90"/>
      <c r="N251" s="90"/>
      <c r="O251" s="90"/>
      <c r="P251" s="90"/>
      <c r="Q251" s="90"/>
      <c r="R251" s="90"/>
      <c r="S251" s="90"/>
      <c r="T251" s="90"/>
      <c r="U251" s="90"/>
      <c r="V251" s="90"/>
      <c r="W251" s="90"/>
      <c r="X251" s="90"/>
      <c r="Y251" s="90"/>
      <c r="Z251" s="90"/>
      <c r="AA251" s="90"/>
      <c r="AB251" s="90"/>
      <c r="AC251" s="90"/>
      <c r="AD251" s="89"/>
      <c r="AE251" s="1159"/>
      <c r="AF251" s="1160"/>
      <c r="AG251" s="1160"/>
      <c r="AH251" s="1160"/>
      <c r="AI251" s="1160"/>
      <c r="AJ251" s="1160"/>
      <c r="AK251" s="1160"/>
      <c r="AL251" s="1161"/>
      <c r="AM251" s="83"/>
    </row>
    <row r="252" spans="2:39">
      <c r="B252" s="1163"/>
      <c r="C252" s="1214"/>
      <c r="D252" s="109" t="s">
        <v>613</v>
      </c>
      <c r="E252" s="138" t="s">
        <v>471</v>
      </c>
      <c r="F252" s="90"/>
      <c r="G252" s="90"/>
      <c r="H252" s="90"/>
      <c r="I252" s="90"/>
      <c r="J252" s="90"/>
      <c r="K252" s="90"/>
      <c r="L252" s="90"/>
      <c r="M252" s="90"/>
      <c r="N252" s="90"/>
      <c r="O252" s="90"/>
      <c r="P252" s="90"/>
      <c r="Q252" s="90"/>
      <c r="R252" s="90"/>
      <c r="S252" s="90"/>
      <c r="T252" s="90"/>
      <c r="U252" s="89"/>
      <c r="V252" s="109" t="s">
        <v>783</v>
      </c>
      <c r="W252" s="85"/>
      <c r="X252" s="1158"/>
      <c r="Y252" s="1158"/>
      <c r="Z252" s="1158"/>
      <c r="AA252" s="1158"/>
      <c r="AB252" s="1158"/>
      <c r="AC252" s="90"/>
      <c r="AD252" s="126" t="s">
        <v>854</v>
      </c>
      <c r="AE252" s="1162"/>
      <c r="AF252" s="1163"/>
      <c r="AG252" s="1163"/>
      <c r="AH252" s="1163"/>
      <c r="AI252" s="1163"/>
      <c r="AJ252" s="1163"/>
      <c r="AK252" s="1163"/>
      <c r="AL252" s="1164"/>
      <c r="AM252" s="83"/>
    </row>
    <row r="253" spans="2:39" ht="54.75" customHeight="1">
      <c r="B253" s="1163"/>
      <c r="C253" s="1215"/>
      <c r="D253" s="103" t="s">
        <v>615</v>
      </c>
      <c r="E253" s="1179" t="s">
        <v>473</v>
      </c>
      <c r="F253" s="1180"/>
      <c r="G253" s="1180"/>
      <c r="H253" s="1180"/>
      <c r="I253" s="1180"/>
      <c r="J253" s="1180"/>
      <c r="K253" s="1180"/>
      <c r="L253" s="1180"/>
      <c r="M253" s="1180"/>
      <c r="N253" s="1180"/>
      <c r="O253" s="1180"/>
      <c r="P253" s="1180"/>
      <c r="Q253" s="1180"/>
      <c r="R253" s="1180"/>
      <c r="S253" s="1180"/>
      <c r="T253" s="1180"/>
      <c r="U253" s="89"/>
      <c r="V253" s="103" t="s">
        <v>784</v>
      </c>
      <c r="W253" s="96"/>
      <c r="X253" s="1231"/>
      <c r="Y253" s="1231"/>
      <c r="Z253" s="1231"/>
      <c r="AA253" s="1231"/>
      <c r="AB253" s="1231"/>
      <c r="AD253" s="232" t="s">
        <v>854</v>
      </c>
      <c r="AE253" s="1162"/>
      <c r="AF253" s="1163"/>
      <c r="AG253" s="1163"/>
      <c r="AH253" s="1163"/>
      <c r="AI253" s="1163"/>
      <c r="AJ253" s="1163"/>
      <c r="AK253" s="1163"/>
      <c r="AL253" s="1164"/>
      <c r="AM253" s="83"/>
    </row>
    <row r="254" spans="2:39" ht="14.1" customHeight="1">
      <c r="B254" s="1163"/>
      <c r="C254" s="1215"/>
      <c r="D254" s="115" t="s">
        <v>617</v>
      </c>
      <c r="E254" s="136" t="s">
        <v>205</v>
      </c>
      <c r="V254" s="115" t="s">
        <v>785</v>
      </c>
      <c r="W254" s="96"/>
      <c r="X254" s="1231"/>
      <c r="Y254" s="1231"/>
      <c r="Z254" s="1231"/>
      <c r="AA254" s="1231"/>
      <c r="AB254" s="1231"/>
      <c r="AC254" s="90"/>
      <c r="AD254" s="201" t="s">
        <v>854</v>
      </c>
      <c r="AE254" s="1162"/>
      <c r="AF254" s="1163"/>
      <c r="AG254" s="1163"/>
      <c r="AH254" s="1163"/>
      <c r="AI254" s="1163"/>
      <c r="AJ254" s="1163"/>
      <c r="AK254" s="1163"/>
      <c r="AL254" s="1164"/>
      <c r="AM254" s="83"/>
    </row>
    <row r="255" spans="2:39" ht="14.1" customHeight="1">
      <c r="B255" s="1163"/>
      <c r="C255" s="1215"/>
      <c r="D255" s="115" t="s">
        <v>619</v>
      </c>
      <c r="E255" s="138" t="s">
        <v>206</v>
      </c>
      <c r="F255" s="90"/>
      <c r="G255" s="90"/>
      <c r="H255" s="90"/>
      <c r="I255" s="90"/>
      <c r="J255" s="90"/>
      <c r="K255" s="90"/>
      <c r="L255" s="90"/>
      <c r="M255" s="90"/>
      <c r="N255" s="90"/>
      <c r="O255" s="90"/>
      <c r="P255" s="90"/>
      <c r="Q255" s="90"/>
      <c r="R255" s="90"/>
      <c r="S255" s="90"/>
      <c r="T255" s="90"/>
      <c r="U255" s="89"/>
      <c r="V255" s="115" t="s">
        <v>786</v>
      </c>
      <c r="W255" s="96"/>
      <c r="X255" s="1156"/>
      <c r="Y255" s="1156"/>
      <c r="Z255" s="1156"/>
      <c r="AA255" s="1156"/>
      <c r="AB255" s="1156"/>
      <c r="AC255" s="90"/>
      <c r="AD255" s="127" t="s">
        <v>854</v>
      </c>
      <c r="AE255" s="1162"/>
      <c r="AF255" s="1163"/>
      <c r="AG255" s="1163"/>
      <c r="AH255" s="1163"/>
      <c r="AI255" s="1163"/>
      <c r="AJ255" s="1163"/>
      <c r="AK255" s="1163"/>
      <c r="AL255" s="1164"/>
      <c r="AM255" s="83"/>
    </row>
    <row r="256" spans="2:39" ht="14.1" customHeight="1">
      <c r="B256" s="1163"/>
      <c r="C256" s="1215"/>
      <c r="D256" s="115" t="s">
        <v>726</v>
      </c>
      <c r="E256" s="138" t="s">
        <v>207</v>
      </c>
      <c r="F256" s="90"/>
      <c r="G256" s="90"/>
      <c r="H256" s="90"/>
      <c r="I256" s="90"/>
      <c r="J256" s="90"/>
      <c r="K256" s="90"/>
      <c r="L256" s="90"/>
      <c r="M256" s="90"/>
      <c r="N256" s="90"/>
      <c r="O256" s="90"/>
      <c r="P256" s="90"/>
      <c r="Q256" s="90"/>
      <c r="R256" s="90"/>
      <c r="S256" s="90"/>
      <c r="T256" s="90"/>
      <c r="U256" s="89"/>
      <c r="V256" s="115" t="s">
        <v>828</v>
      </c>
      <c r="W256" s="96"/>
      <c r="X256" s="1156"/>
      <c r="Y256" s="1156"/>
      <c r="Z256" s="1156"/>
      <c r="AA256" s="1156"/>
      <c r="AB256" s="1156"/>
      <c r="AC256" s="90"/>
      <c r="AD256" s="127" t="s">
        <v>854</v>
      </c>
      <c r="AE256" s="1165"/>
      <c r="AF256" s="1166"/>
      <c r="AG256" s="1166"/>
      <c r="AH256" s="1166"/>
      <c r="AI256" s="1166"/>
      <c r="AJ256" s="1166"/>
      <c r="AK256" s="1166"/>
      <c r="AL256" s="1167"/>
      <c r="AM256" s="83"/>
    </row>
    <row r="257" spans="2:39" ht="14.25" customHeight="1">
      <c r="B257" s="1163"/>
      <c r="C257" s="1216"/>
      <c r="D257" s="115" t="s">
        <v>750</v>
      </c>
      <c r="E257" s="138" t="s">
        <v>474</v>
      </c>
      <c r="F257" s="90"/>
      <c r="G257" s="90"/>
      <c r="H257" s="90"/>
      <c r="I257" s="90"/>
      <c r="J257" s="90"/>
      <c r="K257" s="90"/>
      <c r="L257" s="90"/>
      <c r="M257" s="90"/>
      <c r="N257" s="90"/>
      <c r="O257" s="90"/>
      <c r="P257" s="90"/>
      <c r="Q257" s="90"/>
      <c r="R257" s="90"/>
      <c r="S257" s="90"/>
      <c r="T257" s="90"/>
      <c r="U257" s="90"/>
      <c r="V257" s="90"/>
      <c r="W257" s="90"/>
      <c r="X257" s="90"/>
      <c r="Y257" s="90"/>
      <c r="Z257" s="90"/>
      <c r="AA257" s="90"/>
      <c r="AB257" s="90"/>
      <c r="AC257" s="90"/>
      <c r="AD257" s="89"/>
      <c r="AE257" s="115" t="s">
        <v>827</v>
      </c>
      <c r="AF257" s="91"/>
      <c r="AG257" s="1156">
        <v>0</v>
      </c>
      <c r="AH257" s="1156"/>
      <c r="AI257" s="1156"/>
      <c r="AJ257" s="1156"/>
      <c r="AK257" s="1156"/>
      <c r="AL257" s="223" t="s">
        <v>854</v>
      </c>
      <c r="AM257" s="83"/>
    </row>
    <row r="258" spans="2:39">
      <c r="B258" s="1163"/>
      <c r="C258" s="115">
        <v>6</v>
      </c>
      <c r="D258" s="138" t="s">
        <v>478</v>
      </c>
      <c r="E258" s="90"/>
      <c r="F258" s="90"/>
      <c r="G258" s="90"/>
      <c r="H258" s="90"/>
      <c r="I258" s="90"/>
      <c r="J258" s="90"/>
      <c r="K258" s="90"/>
      <c r="L258" s="90"/>
      <c r="M258" s="90"/>
      <c r="N258" s="90"/>
      <c r="O258" s="90"/>
      <c r="P258" s="90"/>
      <c r="Q258" s="90"/>
      <c r="R258" s="90"/>
      <c r="S258" s="90"/>
      <c r="T258" s="90"/>
      <c r="U258" s="90"/>
      <c r="V258" s="90"/>
      <c r="W258" s="90"/>
      <c r="X258" s="90"/>
      <c r="Y258" s="90"/>
      <c r="Z258" s="90"/>
      <c r="AA258" s="90"/>
      <c r="AB258" s="90"/>
      <c r="AC258" s="90"/>
      <c r="AD258" s="82"/>
      <c r="AE258" s="1159"/>
      <c r="AF258" s="1160"/>
      <c r="AG258" s="1160"/>
      <c r="AH258" s="1160"/>
      <c r="AI258" s="1160"/>
      <c r="AJ258" s="1160"/>
      <c r="AK258" s="1160"/>
      <c r="AL258" s="1161"/>
      <c r="AM258" s="83"/>
    </row>
    <row r="259" spans="2:39" ht="24" customHeight="1">
      <c r="B259" s="1163"/>
      <c r="C259" s="1214"/>
      <c r="D259" s="103" t="s">
        <v>613</v>
      </c>
      <c r="E259" s="1179" t="s">
        <v>479</v>
      </c>
      <c r="F259" s="1180"/>
      <c r="G259" s="1180"/>
      <c r="H259" s="1180"/>
      <c r="I259" s="1180"/>
      <c r="J259" s="1180"/>
      <c r="K259" s="1180"/>
      <c r="L259" s="1180"/>
      <c r="M259" s="1180"/>
      <c r="N259" s="1180"/>
      <c r="O259" s="1180"/>
      <c r="P259" s="1180"/>
      <c r="Q259" s="1180"/>
      <c r="R259" s="1180"/>
      <c r="S259" s="1180"/>
      <c r="T259" s="1180"/>
      <c r="U259" s="89"/>
      <c r="V259" s="100" t="s">
        <v>32</v>
      </c>
      <c r="W259" s="85"/>
      <c r="X259" s="1158"/>
      <c r="Y259" s="1158"/>
      <c r="Z259" s="1158"/>
      <c r="AA259" s="1158"/>
      <c r="AB259" s="1158"/>
      <c r="AC259" s="80"/>
      <c r="AD259" s="236" t="s">
        <v>854</v>
      </c>
      <c r="AE259" s="1162"/>
      <c r="AF259" s="1163"/>
      <c r="AG259" s="1163"/>
      <c r="AH259" s="1163"/>
      <c r="AI259" s="1163"/>
      <c r="AJ259" s="1163"/>
      <c r="AK259" s="1163"/>
      <c r="AL259" s="1164"/>
      <c r="AM259" s="83"/>
    </row>
    <row r="260" spans="2:39" ht="21" customHeight="1">
      <c r="B260" s="1163"/>
      <c r="C260" s="1215"/>
      <c r="D260" s="100" t="s">
        <v>615</v>
      </c>
      <c r="E260" s="1179" t="s">
        <v>480</v>
      </c>
      <c r="F260" s="1180"/>
      <c r="G260" s="1180"/>
      <c r="H260" s="1180"/>
      <c r="I260" s="1180"/>
      <c r="J260" s="1180"/>
      <c r="K260" s="1180"/>
      <c r="L260" s="1180"/>
      <c r="M260" s="1180"/>
      <c r="N260" s="1180"/>
      <c r="O260" s="1180"/>
      <c r="P260" s="1180"/>
      <c r="Q260" s="1180"/>
      <c r="R260" s="1180"/>
      <c r="S260" s="1180"/>
      <c r="T260" s="1180"/>
      <c r="U260" s="89"/>
      <c r="V260" s="103" t="s">
        <v>34</v>
      </c>
      <c r="W260" s="96"/>
      <c r="X260" s="1231"/>
      <c r="Y260" s="1231"/>
      <c r="Z260" s="1231"/>
      <c r="AA260" s="1231"/>
      <c r="AB260" s="1231"/>
      <c r="AC260" s="82"/>
      <c r="AD260" s="231" t="s">
        <v>854</v>
      </c>
      <c r="AE260" s="1162"/>
      <c r="AF260" s="1163"/>
      <c r="AG260" s="1163"/>
      <c r="AH260" s="1163"/>
      <c r="AI260" s="1163"/>
      <c r="AJ260" s="1163"/>
      <c r="AK260" s="1163"/>
      <c r="AL260" s="1164"/>
      <c r="AM260" s="83"/>
    </row>
    <row r="261" spans="2:39" ht="36.75" customHeight="1">
      <c r="B261" s="1163"/>
      <c r="C261" s="1215"/>
      <c r="D261" s="103" t="s">
        <v>617</v>
      </c>
      <c r="E261" s="1179" t="s">
        <v>486</v>
      </c>
      <c r="F261" s="1180"/>
      <c r="G261" s="1180"/>
      <c r="H261" s="1180"/>
      <c r="I261" s="1180"/>
      <c r="J261" s="1180"/>
      <c r="K261" s="1180"/>
      <c r="L261" s="1180"/>
      <c r="M261" s="1180"/>
      <c r="N261" s="1180"/>
      <c r="O261" s="1180"/>
      <c r="P261" s="1180"/>
      <c r="Q261" s="1180"/>
      <c r="R261" s="1180"/>
      <c r="S261" s="1180"/>
      <c r="T261" s="1180"/>
      <c r="U261" s="89"/>
      <c r="V261" s="100" t="s">
        <v>36</v>
      </c>
      <c r="W261" s="96"/>
      <c r="X261" s="1231"/>
      <c r="Y261" s="1231"/>
      <c r="Z261" s="1231"/>
      <c r="AA261" s="1231"/>
      <c r="AB261" s="1231"/>
      <c r="AC261" s="82"/>
      <c r="AD261" s="236" t="s">
        <v>854</v>
      </c>
      <c r="AE261" s="1162"/>
      <c r="AF261" s="1163"/>
      <c r="AG261" s="1163"/>
      <c r="AH261" s="1163"/>
      <c r="AI261" s="1163"/>
      <c r="AJ261" s="1163"/>
      <c r="AK261" s="1163"/>
      <c r="AL261" s="1164"/>
      <c r="AM261" s="83"/>
    </row>
    <row r="262" spans="2:39" ht="14.1" customHeight="1">
      <c r="B262" s="1163"/>
      <c r="C262" s="1215"/>
      <c r="D262" s="115" t="s">
        <v>619</v>
      </c>
      <c r="E262" s="136" t="s">
        <v>487</v>
      </c>
      <c r="V262" s="148" t="s">
        <v>37</v>
      </c>
      <c r="W262" s="96"/>
      <c r="X262" s="1156"/>
      <c r="Y262" s="1156"/>
      <c r="Z262" s="1156"/>
      <c r="AA262" s="1156"/>
      <c r="AB262" s="1156"/>
      <c r="AC262" s="90"/>
      <c r="AD262" s="30" t="s">
        <v>854</v>
      </c>
      <c r="AE262" s="1162"/>
      <c r="AF262" s="1163"/>
      <c r="AG262" s="1163"/>
      <c r="AH262" s="1163"/>
      <c r="AI262" s="1163"/>
      <c r="AJ262" s="1163"/>
      <c r="AK262" s="1163"/>
      <c r="AL262" s="1164"/>
      <c r="AM262" s="83"/>
    </row>
    <row r="263" spans="2:39" ht="14.1" customHeight="1">
      <c r="B263" s="1163"/>
      <c r="C263" s="1215"/>
      <c r="D263" s="115" t="s">
        <v>726</v>
      </c>
      <c r="E263" s="138" t="s">
        <v>208</v>
      </c>
      <c r="F263" s="90"/>
      <c r="G263" s="90"/>
      <c r="H263" s="90"/>
      <c r="I263" s="90"/>
      <c r="J263" s="90"/>
      <c r="K263" s="90"/>
      <c r="L263" s="90"/>
      <c r="M263" s="90"/>
      <c r="N263" s="90"/>
      <c r="O263" s="90"/>
      <c r="P263" s="90"/>
      <c r="Q263" s="90"/>
      <c r="R263" s="90"/>
      <c r="S263" s="90"/>
      <c r="T263" s="90"/>
      <c r="U263" s="89"/>
      <c r="V263" s="148" t="s">
        <v>214</v>
      </c>
      <c r="W263" s="96"/>
      <c r="X263" s="1156"/>
      <c r="Y263" s="1156"/>
      <c r="Z263" s="1156"/>
      <c r="AA263" s="1156"/>
      <c r="AB263" s="1156"/>
      <c r="AC263" s="90"/>
      <c r="AD263" s="223" t="s">
        <v>854</v>
      </c>
      <c r="AE263" s="1162"/>
      <c r="AF263" s="1163"/>
      <c r="AG263" s="1163"/>
      <c r="AH263" s="1163"/>
      <c r="AI263" s="1163"/>
      <c r="AJ263" s="1163"/>
      <c r="AK263" s="1163"/>
      <c r="AL263" s="1164"/>
      <c r="AM263" s="83"/>
    </row>
    <row r="264" spans="2:39" ht="14.1" customHeight="1">
      <c r="B264" s="1163"/>
      <c r="C264" s="1215"/>
      <c r="D264" s="115" t="s">
        <v>750</v>
      </c>
      <c r="E264" s="136" t="s">
        <v>182</v>
      </c>
      <c r="V264" s="148" t="s">
        <v>215</v>
      </c>
      <c r="W264" s="85"/>
      <c r="X264" s="1158"/>
      <c r="Y264" s="1158"/>
      <c r="Z264" s="1158"/>
      <c r="AA264" s="1158"/>
      <c r="AB264" s="1158"/>
      <c r="AC264" s="80"/>
      <c r="AD264" s="30" t="s">
        <v>854</v>
      </c>
      <c r="AE264" s="1162"/>
      <c r="AF264" s="1163"/>
      <c r="AG264" s="1163"/>
      <c r="AH264" s="1163"/>
      <c r="AI264" s="1163"/>
      <c r="AJ264" s="1163"/>
      <c r="AK264" s="1163"/>
      <c r="AL264" s="1164"/>
      <c r="AM264" s="83"/>
    </row>
    <row r="265" spans="2:39" ht="14.1" customHeight="1">
      <c r="B265" s="1163"/>
      <c r="C265" s="1215"/>
      <c r="D265" s="115" t="s">
        <v>752</v>
      </c>
      <c r="E265" s="233" t="s">
        <v>183</v>
      </c>
      <c r="F265" s="90"/>
      <c r="G265" s="90"/>
      <c r="H265" s="90"/>
      <c r="I265" s="90"/>
      <c r="J265" s="90"/>
      <c r="K265" s="90"/>
      <c r="L265" s="90"/>
      <c r="M265" s="90"/>
      <c r="N265" s="90"/>
      <c r="O265" s="90"/>
      <c r="P265" s="90"/>
      <c r="Q265" s="90"/>
      <c r="R265" s="90"/>
      <c r="S265" s="90"/>
      <c r="T265" s="90"/>
      <c r="U265" s="89"/>
      <c r="V265" s="148" t="s">
        <v>274</v>
      </c>
      <c r="W265" s="96"/>
      <c r="X265" s="1231"/>
      <c r="Y265" s="1231"/>
      <c r="Z265" s="1231"/>
      <c r="AA265" s="1231"/>
      <c r="AB265" s="1231"/>
      <c r="AC265" s="82"/>
      <c r="AD265" s="230" t="s">
        <v>854</v>
      </c>
      <c r="AE265" s="1162"/>
      <c r="AF265" s="1163"/>
      <c r="AG265" s="1163"/>
      <c r="AH265" s="1163"/>
      <c r="AI265" s="1163"/>
      <c r="AJ265" s="1163"/>
      <c r="AK265" s="1163"/>
      <c r="AL265" s="1164"/>
      <c r="AM265" s="83"/>
    </row>
    <row r="266" spans="2:39" ht="14.1" customHeight="1">
      <c r="B266" s="1163"/>
      <c r="C266" s="1215"/>
      <c r="D266" s="115" t="s">
        <v>754</v>
      </c>
      <c r="E266" s="136" t="s">
        <v>182</v>
      </c>
      <c r="V266" s="148" t="s">
        <v>216</v>
      </c>
      <c r="W266" s="96"/>
      <c r="X266" s="1231"/>
      <c r="Y266" s="1231"/>
      <c r="Z266" s="1231"/>
      <c r="AA266" s="1231"/>
      <c r="AB266" s="1231"/>
      <c r="AC266" s="82"/>
      <c r="AD266" s="230" t="s">
        <v>854</v>
      </c>
      <c r="AE266" s="1162"/>
      <c r="AF266" s="1163"/>
      <c r="AG266" s="1163"/>
      <c r="AH266" s="1163"/>
      <c r="AI266" s="1163"/>
      <c r="AJ266" s="1163"/>
      <c r="AK266" s="1163"/>
      <c r="AL266" s="1164"/>
      <c r="AM266" s="83"/>
    </row>
    <row r="267" spans="2:39" ht="14.1" customHeight="1">
      <c r="B267" s="1163"/>
      <c r="C267" s="1215"/>
      <c r="D267" s="115" t="s">
        <v>749</v>
      </c>
      <c r="E267" s="138" t="s">
        <v>209</v>
      </c>
      <c r="F267" s="90"/>
      <c r="G267" s="90"/>
      <c r="H267" s="90"/>
      <c r="I267" s="90"/>
      <c r="J267" s="90"/>
      <c r="K267" s="90"/>
      <c r="L267" s="90"/>
      <c r="M267" s="90"/>
      <c r="N267" s="90"/>
      <c r="O267" s="90"/>
      <c r="P267" s="90"/>
      <c r="Q267" s="90"/>
      <c r="R267" s="90"/>
      <c r="S267" s="90"/>
      <c r="T267" s="90"/>
      <c r="U267" s="89"/>
      <c r="V267" s="148" t="s">
        <v>217</v>
      </c>
      <c r="W267" s="96"/>
      <c r="X267" s="1156"/>
      <c r="Y267" s="1156"/>
      <c r="Z267" s="1156"/>
      <c r="AA267" s="1156"/>
      <c r="AB267" s="1156"/>
      <c r="AC267" s="90"/>
      <c r="AD267" s="223" t="s">
        <v>854</v>
      </c>
      <c r="AE267" s="1162"/>
      <c r="AF267" s="1163"/>
      <c r="AG267" s="1163"/>
      <c r="AH267" s="1163"/>
      <c r="AI267" s="1163"/>
      <c r="AJ267" s="1163"/>
      <c r="AK267" s="1163"/>
      <c r="AL267" s="1164"/>
      <c r="AM267" s="83"/>
    </row>
    <row r="268" spans="2:39" ht="14.1" customHeight="1">
      <c r="B268" s="1163"/>
      <c r="C268" s="1215"/>
      <c r="D268" s="115" t="s">
        <v>751</v>
      </c>
      <c r="E268" s="138" t="s">
        <v>210</v>
      </c>
      <c r="F268" s="90"/>
      <c r="G268" s="90"/>
      <c r="H268" s="90"/>
      <c r="I268" s="90"/>
      <c r="J268" s="90"/>
      <c r="K268" s="90"/>
      <c r="L268" s="90"/>
      <c r="M268" s="90"/>
      <c r="N268" s="90"/>
      <c r="O268" s="90"/>
      <c r="P268" s="90"/>
      <c r="Q268" s="90"/>
      <c r="R268" s="90"/>
      <c r="S268" s="90"/>
      <c r="T268" s="90"/>
      <c r="U268" s="89"/>
      <c r="V268" s="148" t="s">
        <v>218</v>
      </c>
      <c r="W268" s="96"/>
      <c r="X268" s="1156"/>
      <c r="Y268" s="1156"/>
      <c r="Z268" s="1156"/>
      <c r="AA268" s="1156"/>
      <c r="AB268" s="1156"/>
      <c r="AC268" s="90"/>
      <c r="AD268" s="223" t="s">
        <v>854</v>
      </c>
      <c r="AE268" s="1162"/>
      <c r="AF268" s="1163"/>
      <c r="AG268" s="1163"/>
      <c r="AH268" s="1163"/>
      <c r="AI268" s="1163"/>
      <c r="AJ268" s="1163"/>
      <c r="AK268" s="1163"/>
      <c r="AL268" s="1164"/>
      <c r="AM268" s="83"/>
    </row>
    <row r="269" spans="2:39" ht="14.1" customHeight="1">
      <c r="B269" s="1163"/>
      <c r="C269" s="1215"/>
      <c r="D269" s="115" t="s">
        <v>753</v>
      </c>
      <c r="E269" s="136" t="s">
        <v>211</v>
      </c>
      <c r="V269" s="143" t="s">
        <v>219</v>
      </c>
      <c r="W269" s="83"/>
      <c r="X269" s="1158"/>
      <c r="Y269" s="1158"/>
      <c r="Z269" s="1158"/>
      <c r="AA269" s="1158"/>
      <c r="AB269" s="1158"/>
      <c r="AC269" s="80"/>
      <c r="AD269" s="30" t="s">
        <v>854</v>
      </c>
      <c r="AE269" s="1162"/>
      <c r="AF269" s="1163"/>
      <c r="AG269" s="1163"/>
      <c r="AH269" s="1163"/>
      <c r="AI269" s="1163"/>
      <c r="AJ269" s="1163"/>
      <c r="AK269" s="1163"/>
      <c r="AL269" s="1164"/>
      <c r="AM269" s="83"/>
    </row>
    <row r="270" spans="2:39" ht="14.1" customHeight="1">
      <c r="B270" s="1163"/>
      <c r="C270" s="1215"/>
      <c r="D270" s="115" t="s">
        <v>311</v>
      </c>
      <c r="E270" s="138" t="s">
        <v>212</v>
      </c>
      <c r="F270" s="90"/>
      <c r="G270" s="90"/>
      <c r="H270" s="90"/>
      <c r="I270" s="90"/>
      <c r="J270" s="90"/>
      <c r="K270" s="90"/>
      <c r="L270" s="90"/>
      <c r="M270" s="90"/>
      <c r="N270" s="90"/>
      <c r="O270" s="90"/>
      <c r="P270" s="90"/>
      <c r="Q270" s="90"/>
      <c r="R270" s="90"/>
      <c r="S270" s="90"/>
      <c r="T270" s="90"/>
      <c r="U270" s="90"/>
      <c r="V270" s="148" t="s">
        <v>185</v>
      </c>
      <c r="W270" s="96"/>
      <c r="X270" s="1231"/>
      <c r="Y270" s="1231"/>
      <c r="Z270" s="1231"/>
      <c r="AA270" s="1231"/>
      <c r="AB270" s="1231"/>
      <c r="AC270" s="82"/>
      <c r="AD270" s="230" t="s">
        <v>854</v>
      </c>
      <c r="AE270" s="1162"/>
      <c r="AF270" s="1163"/>
      <c r="AG270" s="1163"/>
      <c r="AH270" s="1163"/>
      <c r="AI270" s="1163"/>
      <c r="AJ270" s="1163"/>
      <c r="AK270" s="1163"/>
      <c r="AL270" s="1164"/>
      <c r="AM270" s="83"/>
    </row>
    <row r="271" spans="2:39" ht="25.5" customHeight="1">
      <c r="B271" s="1163"/>
      <c r="C271" s="1215"/>
      <c r="D271" s="103" t="s">
        <v>755</v>
      </c>
      <c r="E271" s="1179" t="s">
        <v>184</v>
      </c>
      <c r="F271" s="1180"/>
      <c r="G271" s="1180"/>
      <c r="H271" s="1180"/>
      <c r="I271" s="1180"/>
      <c r="J271" s="1180"/>
      <c r="K271" s="1180"/>
      <c r="L271" s="1180"/>
      <c r="M271" s="1180"/>
      <c r="N271" s="1180"/>
      <c r="O271" s="1180"/>
      <c r="P271" s="1180"/>
      <c r="Q271" s="1180"/>
      <c r="R271" s="1180"/>
      <c r="S271" s="1180"/>
      <c r="T271" s="1180"/>
      <c r="V271" s="100" t="s">
        <v>220</v>
      </c>
      <c r="W271" s="85"/>
      <c r="X271" s="1231"/>
      <c r="Y271" s="1231"/>
      <c r="Z271" s="1231"/>
      <c r="AA271" s="1231"/>
      <c r="AB271" s="1231"/>
      <c r="AC271" s="82"/>
      <c r="AD271" s="235" t="s">
        <v>854</v>
      </c>
      <c r="AE271" s="1162"/>
      <c r="AF271" s="1163"/>
      <c r="AG271" s="1163"/>
      <c r="AH271" s="1163"/>
      <c r="AI271" s="1163"/>
      <c r="AJ271" s="1163"/>
      <c r="AK271" s="1163"/>
      <c r="AL271" s="1164"/>
      <c r="AM271" s="83"/>
    </row>
    <row r="272" spans="2:39" ht="60.75" customHeight="1">
      <c r="B272" s="1163"/>
      <c r="C272" s="1215"/>
      <c r="D272" s="100" t="s">
        <v>810</v>
      </c>
      <c r="E272" s="1179" t="s">
        <v>186</v>
      </c>
      <c r="F272" s="1180"/>
      <c r="G272" s="1180"/>
      <c r="H272" s="1180"/>
      <c r="I272" s="1180"/>
      <c r="J272" s="1180"/>
      <c r="K272" s="1180"/>
      <c r="L272" s="1180"/>
      <c r="M272" s="1180"/>
      <c r="N272" s="1180"/>
      <c r="O272" s="1180"/>
      <c r="P272" s="1180"/>
      <c r="Q272" s="1180"/>
      <c r="R272" s="1180"/>
      <c r="S272" s="1180"/>
      <c r="T272" s="1180"/>
      <c r="U272" s="89"/>
      <c r="V272" s="103" t="s">
        <v>221</v>
      </c>
      <c r="W272" s="96"/>
      <c r="X272" s="1156"/>
      <c r="Y272" s="1156"/>
      <c r="Z272" s="1156"/>
      <c r="AA272" s="1156"/>
      <c r="AB272" s="1156"/>
      <c r="AC272" s="90"/>
      <c r="AD272" s="234" t="s">
        <v>854</v>
      </c>
      <c r="AE272" s="1162"/>
      <c r="AF272" s="1163"/>
      <c r="AG272" s="1163"/>
      <c r="AH272" s="1163"/>
      <c r="AI272" s="1163"/>
      <c r="AJ272" s="1163"/>
      <c r="AK272" s="1163"/>
      <c r="AL272" s="1164"/>
      <c r="AM272" s="83"/>
    </row>
    <row r="273" spans="2:39" ht="14.1" customHeight="1">
      <c r="B273" s="1163"/>
      <c r="C273" s="1215"/>
      <c r="D273" s="115" t="s">
        <v>421</v>
      </c>
      <c r="E273" s="138" t="s">
        <v>213</v>
      </c>
      <c r="F273" s="90"/>
      <c r="G273" s="90"/>
      <c r="H273" s="90"/>
      <c r="I273" s="90"/>
      <c r="J273" s="90"/>
      <c r="K273" s="90"/>
      <c r="L273" s="90"/>
      <c r="M273" s="90"/>
      <c r="N273" s="90"/>
      <c r="O273" s="90"/>
      <c r="P273" s="90"/>
      <c r="Q273" s="90"/>
      <c r="R273" s="90"/>
      <c r="S273" s="90"/>
      <c r="T273" s="90"/>
      <c r="U273" s="90"/>
      <c r="V273" s="148" t="s">
        <v>475</v>
      </c>
      <c r="W273" s="96"/>
      <c r="X273" s="1156"/>
      <c r="Y273" s="1156"/>
      <c r="Z273" s="1156"/>
      <c r="AA273" s="1156"/>
      <c r="AB273" s="1156"/>
      <c r="AC273" s="90"/>
      <c r="AD273" s="30" t="s">
        <v>854</v>
      </c>
      <c r="AE273" s="1165"/>
      <c r="AF273" s="1166"/>
      <c r="AG273" s="1166"/>
      <c r="AH273" s="1166"/>
      <c r="AI273" s="1166"/>
      <c r="AJ273" s="1166"/>
      <c r="AK273" s="1166"/>
      <c r="AL273" s="1167"/>
      <c r="AM273" s="83"/>
    </row>
    <row r="274" spans="2:39" ht="15" customHeight="1">
      <c r="B274" s="1163"/>
      <c r="C274" s="1216"/>
      <c r="D274" s="115" t="s">
        <v>476</v>
      </c>
      <c r="E274" s="138" t="s">
        <v>187</v>
      </c>
      <c r="F274" s="90"/>
      <c r="G274" s="90"/>
      <c r="H274" s="90"/>
      <c r="I274" s="90"/>
      <c r="J274" s="90"/>
      <c r="K274" s="90"/>
      <c r="L274" s="90"/>
      <c r="M274" s="90"/>
      <c r="N274" s="90"/>
      <c r="O274" s="90"/>
      <c r="P274" s="90"/>
      <c r="Q274" s="90"/>
      <c r="R274" s="90"/>
      <c r="S274" s="90"/>
      <c r="T274" s="90"/>
      <c r="U274" s="90"/>
      <c r="V274" s="90"/>
      <c r="W274" s="90"/>
      <c r="X274" s="90"/>
      <c r="Y274" s="90"/>
      <c r="Z274" s="90"/>
      <c r="AA274" s="90"/>
      <c r="AB274" s="90"/>
      <c r="AC274" s="90"/>
      <c r="AD274" s="89"/>
      <c r="AE274" s="109" t="s">
        <v>477</v>
      </c>
      <c r="AF274" s="120"/>
      <c r="AG274" s="1156">
        <v>0</v>
      </c>
      <c r="AH274" s="1156"/>
      <c r="AI274" s="1156"/>
      <c r="AJ274" s="1156"/>
      <c r="AK274" s="1156"/>
      <c r="AL274" s="223" t="s">
        <v>854</v>
      </c>
      <c r="AM274" s="83"/>
    </row>
    <row r="275" spans="2:39" ht="15" customHeight="1">
      <c r="B275" s="1163"/>
      <c r="C275" s="115">
        <v>7</v>
      </c>
      <c r="D275" s="136" t="s">
        <v>188</v>
      </c>
      <c r="AE275" s="1159"/>
      <c r="AF275" s="1160"/>
      <c r="AG275" s="1160"/>
      <c r="AH275" s="1160"/>
      <c r="AI275" s="1160"/>
      <c r="AJ275" s="1160"/>
      <c r="AK275" s="1160"/>
      <c r="AL275" s="1161"/>
      <c r="AM275" s="83"/>
    </row>
    <row r="276" spans="2:39" ht="12.75" customHeight="1">
      <c r="B276" s="1163"/>
      <c r="C276" s="1214"/>
      <c r="D276" s="115" t="s">
        <v>613</v>
      </c>
      <c r="E276" s="271" t="s">
        <v>222</v>
      </c>
      <c r="F276" s="90"/>
      <c r="G276" s="90"/>
      <c r="H276" s="90"/>
      <c r="I276" s="90"/>
      <c r="J276" s="90"/>
      <c r="K276" s="90"/>
      <c r="L276" s="90"/>
      <c r="M276" s="90"/>
      <c r="N276" s="90"/>
      <c r="O276" s="90"/>
      <c r="P276" s="90"/>
      <c r="Q276" s="90"/>
      <c r="R276" s="90"/>
      <c r="S276" s="90"/>
      <c r="T276" s="90"/>
      <c r="U276" s="89"/>
      <c r="V276" s="148" t="s">
        <v>614</v>
      </c>
      <c r="W276" s="96"/>
      <c r="X276" s="1156"/>
      <c r="Y276" s="1156"/>
      <c r="Z276" s="1156"/>
      <c r="AA276" s="1156"/>
      <c r="AB276" s="1156"/>
      <c r="AC276" s="90"/>
      <c r="AD276" s="127" t="s">
        <v>854</v>
      </c>
      <c r="AE276" s="1162"/>
      <c r="AF276" s="1163"/>
      <c r="AG276" s="1163"/>
      <c r="AH276" s="1163"/>
      <c r="AI276" s="1163"/>
      <c r="AJ276" s="1163"/>
      <c r="AK276" s="1163"/>
      <c r="AL276" s="1164"/>
      <c r="AM276" s="83"/>
    </row>
    <row r="277" spans="2:39" ht="33.75" customHeight="1">
      <c r="B277" s="1163"/>
      <c r="C277" s="1215"/>
      <c r="D277" s="100" t="s">
        <v>615</v>
      </c>
      <c r="E277" s="1179" t="s">
        <v>189</v>
      </c>
      <c r="F277" s="1180"/>
      <c r="G277" s="1180"/>
      <c r="H277" s="1180"/>
      <c r="I277" s="1180"/>
      <c r="J277" s="1180"/>
      <c r="K277" s="1180"/>
      <c r="L277" s="1180"/>
      <c r="M277" s="1180"/>
      <c r="N277" s="1180"/>
      <c r="O277" s="1180"/>
      <c r="P277" s="1180"/>
      <c r="Q277" s="1180"/>
      <c r="R277" s="1180"/>
      <c r="S277" s="1180"/>
      <c r="T277" s="1180"/>
      <c r="V277" s="100" t="s">
        <v>616</v>
      </c>
      <c r="W277" s="85"/>
      <c r="X277" s="1158"/>
      <c r="Y277" s="1158"/>
      <c r="Z277" s="1158"/>
      <c r="AA277" s="1158"/>
      <c r="AB277" s="1158"/>
      <c r="AC277" s="80"/>
      <c r="AD277" s="260" t="s">
        <v>854</v>
      </c>
      <c r="AE277" s="1162"/>
      <c r="AF277" s="1163"/>
      <c r="AG277" s="1163"/>
      <c r="AH277" s="1163"/>
      <c r="AI277" s="1163"/>
      <c r="AJ277" s="1163"/>
      <c r="AK277" s="1163"/>
      <c r="AL277" s="1164"/>
      <c r="AM277" s="83"/>
    </row>
    <row r="278" spans="2:39" ht="25.5" customHeight="1">
      <c r="B278" s="1163"/>
      <c r="C278" s="1215"/>
      <c r="D278" s="100" t="s">
        <v>617</v>
      </c>
      <c r="E278" s="1179" t="s">
        <v>190</v>
      </c>
      <c r="F278" s="1180"/>
      <c r="G278" s="1180"/>
      <c r="H278" s="1180"/>
      <c r="I278" s="1180"/>
      <c r="J278" s="1180"/>
      <c r="K278" s="1180"/>
      <c r="L278" s="1180"/>
      <c r="M278" s="1180"/>
      <c r="N278" s="1180"/>
      <c r="O278" s="1180"/>
      <c r="P278" s="1180"/>
      <c r="Q278" s="1180"/>
      <c r="R278" s="1180"/>
      <c r="S278" s="1180"/>
      <c r="T278" s="1180"/>
      <c r="U278" s="89"/>
      <c r="V278" s="100" t="s">
        <v>618</v>
      </c>
      <c r="W278" s="96"/>
      <c r="X278" s="1231"/>
      <c r="Y278" s="1231"/>
      <c r="Z278" s="1231"/>
      <c r="AA278" s="1231"/>
      <c r="AB278" s="1231"/>
      <c r="AC278" s="82"/>
      <c r="AD278" s="260" t="s">
        <v>854</v>
      </c>
      <c r="AE278" s="1162"/>
      <c r="AF278" s="1163"/>
      <c r="AG278" s="1163"/>
      <c r="AH278" s="1163"/>
      <c r="AI278" s="1163"/>
      <c r="AJ278" s="1163"/>
      <c r="AK278" s="1163"/>
      <c r="AL278" s="1164"/>
      <c r="AM278" s="83"/>
    </row>
    <row r="279" spans="2:39" ht="14.1" customHeight="1">
      <c r="B279" s="1163"/>
      <c r="C279" s="1215"/>
      <c r="D279" s="115" t="s">
        <v>619</v>
      </c>
      <c r="E279" s="136" t="s">
        <v>223</v>
      </c>
      <c r="V279" s="148" t="s">
        <v>725</v>
      </c>
      <c r="W279" s="96"/>
      <c r="X279" s="1231"/>
      <c r="Y279" s="1231"/>
      <c r="Z279" s="1231"/>
      <c r="AA279" s="1231"/>
      <c r="AB279" s="1231"/>
      <c r="AC279" s="82"/>
      <c r="AD279" s="127" t="s">
        <v>854</v>
      </c>
      <c r="AE279" s="1162"/>
      <c r="AF279" s="1163"/>
      <c r="AG279" s="1163"/>
      <c r="AH279" s="1163"/>
      <c r="AI279" s="1163"/>
      <c r="AJ279" s="1163"/>
      <c r="AK279" s="1163"/>
      <c r="AL279" s="1164"/>
      <c r="AM279" s="83"/>
    </row>
    <row r="280" spans="2:39" ht="24.75" customHeight="1">
      <c r="B280" s="1163"/>
      <c r="C280" s="1215"/>
      <c r="D280" s="100" t="s">
        <v>726</v>
      </c>
      <c r="E280" s="1179" t="s">
        <v>191</v>
      </c>
      <c r="F280" s="1180"/>
      <c r="G280" s="1180"/>
      <c r="H280" s="1180"/>
      <c r="I280" s="1180"/>
      <c r="J280" s="1180"/>
      <c r="K280" s="1180"/>
      <c r="L280" s="1180"/>
      <c r="M280" s="1180"/>
      <c r="N280" s="1180"/>
      <c r="O280" s="1180"/>
      <c r="P280" s="1180"/>
      <c r="Q280" s="1180"/>
      <c r="R280" s="1180"/>
      <c r="S280" s="1180"/>
      <c r="T280" s="1180"/>
      <c r="U280" s="89"/>
      <c r="V280" s="100" t="s">
        <v>727</v>
      </c>
      <c r="W280" s="96"/>
      <c r="X280" s="1156"/>
      <c r="Y280" s="1156"/>
      <c r="Z280" s="1156"/>
      <c r="AA280" s="1156"/>
      <c r="AB280" s="1156"/>
      <c r="AC280" s="90"/>
      <c r="AD280" s="260" t="s">
        <v>854</v>
      </c>
      <c r="AE280" s="1162"/>
      <c r="AF280" s="1163"/>
      <c r="AG280" s="1163"/>
      <c r="AH280" s="1163"/>
      <c r="AI280" s="1163"/>
      <c r="AJ280" s="1163"/>
      <c r="AK280" s="1163"/>
      <c r="AL280" s="1164"/>
      <c r="AM280" s="83"/>
    </row>
    <row r="281" spans="2:39" ht="14.1" customHeight="1">
      <c r="B281" s="1163"/>
      <c r="C281" s="1215"/>
      <c r="D281" s="115" t="s">
        <v>750</v>
      </c>
      <c r="E281" s="136" t="s">
        <v>224</v>
      </c>
      <c r="V281" s="148" t="s">
        <v>226</v>
      </c>
      <c r="W281" s="96"/>
      <c r="X281" s="1156"/>
      <c r="Y281" s="1156"/>
      <c r="Z281" s="1156"/>
      <c r="AA281" s="1156"/>
      <c r="AB281" s="1156"/>
      <c r="AC281" s="90"/>
      <c r="AD281" s="127" t="s">
        <v>854</v>
      </c>
      <c r="AE281" s="1162"/>
      <c r="AF281" s="1163"/>
      <c r="AG281" s="1163"/>
      <c r="AH281" s="1163"/>
      <c r="AI281" s="1163"/>
      <c r="AJ281" s="1163"/>
      <c r="AK281" s="1163"/>
      <c r="AL281" s="1164"/>
      <c r="AM281" s="83"/>
    </row>
    <row r="282" spans="2:39" ht="26.25" customHeight="1">
      <c r="B282" s="1163"/>
      <c r="C282" s="1215"/>
      <c r="D282" s="100" t="s">
        <v>752</v>
      </c>
      <c r="E282" s="1179" t="s">
        <v>192</v>
      </c>
      <c r="F282" s="1180"/>
      <c r="G282" s="1180"/>
      <c r="H282" s="1180"/>
      <c r="I282" s="1180"/>
      <c r="J282" s="1180"/>
      <c r="K282" s="1180"/>
      <c r="L282" s="1180"/>
      <c r="M282" s="1180"/>
      <c r="N282" s="1180"/>
      <c r="O282" s="1180"/>
      <c r="P282" s="1180"/>
      <c r="Q282" s="1180"/>
      <c r="R282" s="1180"/>
      <c r="S282" s="1180"/>
      <c r="T282" s="1180"/>
      <c r="U282" s="89"/>
      <c r="V282" s="100" t="s">
        <v>227</v>
      </c>
      <c r="W282" s="96"/>
      <c r="X282" s="1156"/>
      <c r="Y282" s="1156"/>
      <c r="Z282" s="1156"/>
      <c r="AA282" s="1156"/>
      <c r="AB282" s="1156"/>
      <c r="AC282" s="90"/>
      <c r="AD282" s="260" t="s">
        <v>854</v>
      </c>
      <c r="AE282" s="1162"/>
      <c r="AF282" s="1163"/>
      <c r="AG282" s="1163"/>
      <c r="AH282" s="1163"/>
      <c r="AI282" s="1163"/>
      <c r="AJ282" s="1163"/>
      <c r="AK282" s="1163"/>
      <c r="AL282" s="1164"/>
      <c r="AM282" s="83"/>
    </row>
    <row r="283" spans="2:39" ht="14.1" customHeight="1">
      <c r="B283" s="1163"/>
      <c r="C283" s="1215"/>
      <c r="D283" s="115" t="s">
        <v>754</v>
      </c>
      <c r="E283" s="136" t="s">
        <v>225</v>
      </c>
      <c r="V283" s="148" t="s">
        <v>228</v>
      </c>
      <c r="W283" s="96"/>
      <c r="X283" s="1156"/>
      <c r="Y283" s="1156"/>
      <c r="Z283" s="1156"/>
      <c r="AA283" s="1156"/>
      <c r="AB283" s="1156"/>
      <c r="AC283" s="90"/>
      <c r="AD283" s="127" t="s">
        <v>854</v>
      </c>
      <c r="AE283" s="1165"/>
      <c r="AF283" s="1166"/>
      <c r="AG283" s="1166"/>
      <c r="AH283" s="1166"/>
      <c r="AI283" s="1166"/>
      <c r="AJ283" s="1166"/>
      <c r="AK283" s="1166"/>
      <c r="AL283" s="1167"/>
      <c r="AM283" s="83"/>
    </row>
    <row r="284" spans="2:39" ht="14.25" customHeight="1">
      <c r="B284" s="1163"/>
      <c r="C284" s="1216"/>
      <c r="D284" s="115" t="s">
        <v>749</v>
      </c>
      <c r="E284" s="138" t="s">
        <v>229</v>
      </c>
      <c r="F284" s="90"/>
      <c r="G284" s="90"/>
      <c r="H284" s="90"/>
      <c r="I284" s="90"/>
      <c r="J284" s="90"/>
      <c r="K284" s="90"/>
      <c r="L284" s="90"/>
      <c r="M284" s="90"/>
      <c r="N284" s="90"/>
      <c r="O284" s="90"/>
      <c r="P284" s="90"/>
      <c r="Q284" s="90"/>
      <c r="R284" s="90"/>
      <c r="S284" s="90"/>
      <c r="T284" s="90"/>
      <c r="U284" s="90"/>
      <c r="AE284" s="109" t="s">
        <v>230</v>
      </c>
      <c r="AF284" s="120"/>
      <c r="AG284" s="1156">
        <v>0</v>
      </c>
      <c r="AH284" s="1156"/>
      <c r="AI284" s="1156"/>
      <c r="AJ284" s="1156"/>
      <c r="AK284" s="1156"/>
      <c r="AL284" s="223" t="s">
        <v>854</v>
      </c>
      <c r="AM284" s="83"/>
    </row>
    <row r="285" spans="2:39" ht="16.5" customHeight="1">
      <c r="B285" s="1163"/>
      <c r="C285" s="115">
        <v>8</v>
      </c>
      <c r="D285" s="115" t="s">
        <v>791</v>
      </c>
      <c r="E285" s="138" t="s">
        <v>138</v>
      </c>
      <c r="F285" s="90"/>
      <c r="G285" s="90"/>
      <c r="H285" s="90"/>
      <c r="I285" s="90"/>
      <c r="J285" s="90"/>
      <c r="K285" s="90"/>
      <c r="L285" s="90"/>
      <c r="M285" s="90"/>
      <c r="N285" s="90"/>
      <c r="O285" s="90"/>
      <c r="P285" s="90"/>
      <c r="Q285" s="90"/>
      <c r="R285" s="90"/>
      <c r="S285" s="90"/>
      <c r="T285" s="90"/>
      <c r="U285" s="90"/>
      <c r="V285" s="90"/>
      <c r="W285" s="90"/>
      <c r="X285" s="90"/>
      <c r="Y285" s="90"/>
      <c r="Z285" s="90"/>
      <c r="AA285" s="90"/>
      <c r="AB285" s="90"/>
      <c r="AC285" s="90"/>
      <c r="AD285" s="81"/>
      <c r="AE285" s="1159"/>
      <c r="AF285" s="1160"/>
      <c r="AG285" s="1160"/>
      <c r="AH285" s="1160"/>
      <c r="AI285" s="1160"/>
      <c r="AJ285" s="1160"/>
      <c r="AK285" s="1160"/>
      <c r="AL285" s="1161"/>
      <c r="AM285" s="83"/>
    </row>
    <row r="286" spans="2:39" ht="39.75" customHeight="1">
      <c r="B286" s="1163"/>
      <c r="C286" s="1214"/>
      <c r="D286" s="1161"/>
      <c r="E286" s="100" t="s">
        <v>613</v>
      </c>
      <c r="F286" s="1179" t="s">
        <v>194</v>
      </c>
      <c r="G286" s="1180"/>
      <c r="H286" s="1180"/>
      <c r="I286" s="1180"/>
      <c r="J286" s="1180"/>
      <c r="K286" s="1180"/>
      <c r="L286" s="1180"/>
      <c r="M286" s="1180"/>
      <c r="N286" s="1180"/>
      <c r="O286" s="1180"/>
      <c r="P286" s="1180"/>
      <c r="Q286" s="1180"/>
      <c r="R286" s="1180"/>
      <c r="S286" s="1180"/>
      <c r="T286" s="1180"/>
      <c r="U286" s="1180"/>
      <c r="V286" s="100" t="s">
        <v>233</v>
      </c>
      <c r="W286" s="96"/>
      <c r="X286" s="1156"/>
      <c r="Y286" s="1156"/>
      <c r="Z286" s="1156"/>
      <c r="AA286" s="1156"/>
      <c r="AB286" s="1156"/>
      <c r="AC286" s="90"/>
      <c r="AD286" s="234" t="s">
        <v>854</v>
      </c>
      <c r="AE286" s="1162"/>
      <c r="AF286" s="1163"/>
      <c r="AG286" s="1163"/>
      <c r="AH286" s="1163"/>
      <c r="AI286" s="1163"/>
      <c r="AJ286" s="1163"/>
      <c r="AK286" s="1163"/>
      <c r="AL286" s="1164"/>
      <c r="AM286" s="83"/>
    </row>
    <row r="287" spans="2:39" ht="14.1" customHeight="1">
      <c r="B287" s="1163"/>
      <c r="C287" s="1215"/>
      <c r="D287" s="1164"/>
      <c r="E287" s="115" t="s">
        <v>615</v>
      </c>
      <c r="F287" s="138" t="s">
        <v>231</v>
      </c>
      <c r="G287" s="90"/>
      <c r="H287" s="90"/>
      <c r="I287" s="90"/>
      <c r="J287" s="90"/>
      <c r="K287" s="90"/>
      <c r="L287" s="90"/>
      <c r="M287" s="90"/>
      <c r="N287" s="90"/>
      <c r="O287" s="90"/>
      <c r="P287" s="90"/>
      <c r="Q287" s="90"/>
      <c r="R287" s="90"/>
      <c r="S287" s="90"/>
      <c r="T287" s="90"/>
      <c r="U287" s="89"/>
      <c r="V287" s="115" t="s">
        <v>234</v>
      </c>
      <c r="W287" s="96"/>
      <c r="X287" s="1156"/>
      <c r="Y287" s="1156"/>
      <c r="Z287" s="1156"/>
      <c r="AA287" s="1156"/>
      <c r="AB287" s="1156"/>
      <c r="AC287" s="90"/>
      <c r="AD287" s="126" t="s">
        <v>854</v>
      </c>
      <c r="AE287" s="1162"/>
      <c r="AF287" s="1163"/>
      <c r="AG287" s="1163"/>
      <c r="AH287" s="1163"/>
      <c r="AI287" s="1163"/>
      <c r="AJ287" s="1163"/>
      <c r="AK287" s="1163"/>
      <c r="AL287" s="1164"/>
      <c r="AM287" s="83"/>
    </row>
    <row r="288" spans="2:39" ht="14.1" customHeight="1">
      <c r="B288" s="1163"/>
      <c r="C288" s="1215"/>
      <c r="D288" s="1164"/>
      <c r="E288" s="115" t="s">
        <v>617</v>
      </c>
      <c r="F288" s="138" t="s">
        <v>232</v>
      </c>
      <c r="G288" s="90"/>
      <c r="H288" s="90"/>
      <c r="I288" s="90"/>
      <c r="J288" s="90"/>
      <c r="K288" s="90"/>
      <c r="L288" s="90"/>
      <c r="M288" s="90"/>
      <c r="N288" s="90"/>
      <c r="O288" s="90"/>
      <c r="P288" s="90"/>
      <c r="Q288" s="90"/>
      <c r="R288" s="90"/>
      <c r="S288" s="90"/>
      <c r="T288" s="90"/>
      <c r="U288" s="89"/>
      <c r="V288" s="115" t="s">
        <v>235</v>
      </c>
      <c r="W288" s="96"/>
      <c r="X288" s="1156"/>
      <c r="Y288" s="1156"/>
      <c r="Z288" s="1156"/>
      <c r="AA288" s="1156"/>
      <c r="AB288" s="1156"/>
      <c r="AC288" s="90"/>
      <c r="AD288" s="127" t="s">
        <v>854</v>
      </c>
      <c r="AE288" s="1162"/>
      <c r="AF288" s="1163"/>
      <c r="AG288" s="1163"/>
      <c r="AH288" s="1163"/>
      <c r="AI288" s="1163"/>
      <c r="AJ288" s="1163"/>
      <c r="AK288" s="1163"/>
      <c r="AL288" s="1164"/>
      <c r="AM288" s="83"/>
    </row>
    <row r="289" spans="2:39" ht="14.1" customHeight="1">
      <c r="B289" s="1166"/>
      <c r="C289" s="1216"/>
      <c r="D289" s="1167"/>
      <c r="E289" s="115" t="s">
        <v>619</v>
      </c>
      <c r="F289" s="171" t="s">
        <v>193</v>
      </c>
      <c r="G289" s="80"/>
      <c r="H289" s="80"/>
      <c r="I289" s="80"/>
      <c r="J289" s="80"/>
      <c r="K289" s="80"/>
      <c r="L289" s="80"/>
      <c r="M289" s="80"/>
      <c r="N289" s="80"/>
      <c r="O289" s="80"/>
      <c r="P289" s="80"/>
      <c r="Q289" s="80"/>
      <c r="R289" s="80"/>
      <c r="S289" s="80"/>
      <c r="T289" s="80"/>
      <c r="U289" s="80"/>
      <c r="V289" s="115" t="s">
        <v>236</v>
      </c>
      <c r="W289" s="96"/>
      <c r="X289" s="1156"/>
      <c r="Y289" s="1156"/>
      <c r="Z289" s="1156"/>
      <c r="AA289" s="1156"/>
      <c r="AB289" s="1156"/>
      <c r="AC289" s="90"/>
      <c r="AD289" s="127" t="s">
        <v>854</v>
      </c>
      <c r="AE289" s="1165"/>
      <c r="AF289" s="1166"/>
      <c r="AG289" s="1166"/>
      <c r="AH289" s="1166"/>
      <c r="AI289" s="1166"/>
      <c r="AJ289" s="1166"/>
      <c r="AK289" s="1166"/>
      <c r="AL289" s="1167"/>
      <c r="AM289" s="83"/>
    </row>
    <row r="290" spans="2:39" ht="15" customHeight="1">
      <c r="AE290" s="125" t="s">
        <v>492</v>
      </c>
      <c r="AF290" s="1168" t="s">
        <v>907</v>
      </c>
      <c r="AG290" s="1168"/>
      <c r="AH290" s="1168"/>
      <c r="AI290" s="1168"/>
      <c r="AJ290" s="132" t="s">
        <v>845</v>
      </c>
      <c r="AK290" s="131"/>
      <c r="AL290" s="133">
        <v>9.06</v>
      </c>
    </row>
    <row r="291" spans="2:39" ht="14.1" customHeight="1">
      <c r="B291" s="1161"/>
      <c r="C291" s="1214"/>
      <c r="D291" s="1214"/>
      <c r="E291" s="115" t="s">
        <v>726</v>
      </c>
      <c r="F291" s="140" t="s">
        <v>195</v>
      </c>
      <c r="G291" s="90"/>
      <c r="H291" s="90"/>
      <c r="I291" s="90"/>
      <c r="J291" s="90"/>
      <c r="K291" s="90"/>
      <c r="L291" s="90"/>
      <c r="M291" s="90"/>
      <c r="N291" s="90"/>
      <c r="O291" s="90"/>
      <c r="P291" s="90"/>
      <c r="Q291" s="90"/>
      <c r="R291" s="90"/>
      <c r="S291" s="90"/>
      <c r="T291" s="90"/>
      <c r="U291" s="90"/>
      <c r="V291" s="148" t="s">
        <v>237</v>
      </c>
      <c r="W291" s="96"/>
      <c r="X291" s="1156"/>
      <c r="Y291" s="1156"/>
      <c r="Z291" s="1156"/>
      <c r="AA291" s="1156"/>
      <c r="AB291" s="1156"/>
      <c r="AC291" s="90"/>
      <c r="AD291" s="127" t="s">
        <v>854</v>
      </c>
      <c r="AE291" s="1159"/>
      <c r="AF291" s="1160"/>
      <c r="AG291" s="1160"/>
      <c r="AH291" s="1160"/>
      <c r="AI291" s="1160"/>
      <c r="AJ291" s="1160"/>
      <c r="AK291" s="1160"/>
      <c r="AL291" s="1161"/>
    </row>
    <row r="292" spans="2:39" ht="24.75" customHeight="1">
      <c r="B292" s="1164"/>
      <c r="C292" s="1215"/>
      <c r="D292" s="1215"/>
      <c r="E292" s="100" t="s">
        <v>750</v>
      </c>
      <c r="F292" s="1259" t="s">
        <v>196</v>
      </c>
      <c r="G292" s="1260"/>
      <c r="H292" s="1260"/>
      <c r="I292" s="1260"/>
      <c r="J292" s="1260"/>
      <c r="K292" s="1260"/>
      <c r="L292" s="1260"/>
      <c r="M292" s="1260"/>
      <c r="N292" s="1260"/>
      <c r="O292" s="1260"/>
      <c r="P292" s="1260"/>
      <c r="Q292" s="1260"/>
      <c r="R292" s="1260"/>
      <c r="S292" s="1260"/>
      <c r="T292" s="1260"/>
      <c r="U292" s="89"/>
      <c r="V292" s="157" t="s">
        <v>238</v>
      </c>
      <c r="W292" s="96"/>
      <c r="X292" s="1156"/>
      <c r="Y292" s="1156"/>
      <c r="Z292" s="1156"/>
      <c r="AA292" s="1156"/>
      <c r="AB292" s="1156"/>
      <c r="AC292" s="90"/>
      <c r="AD292" s="234" t="s">
        <v>854</v>
      </c>
      <c r="AE292" s="1162"/>
      <c r="AF292" s="1163"/>
      <c r="AG292" s="1163"/>
      <c r="AH292" s="1163"/>
      <c r="AI292" s="1163"/>
      <c r="AJ292" s="1163"/>
      <c r="AK292" s="1163"/>
      <c r="AL292" s="1164"/>
    </row>
    <row r="293" spans="2:39" ht="14.1" customHeight="1">
      <c r="B293" s="1164"/>
      <c r="C293" s="1215"/>
      <c r="D293" s="1215"/>
      <c r="E293" s="115" t="s">
        <v>752</v>
      </c>
      <c r="F293" s="140" t="s">
        <v>213</v>
      </c>
      <c r="G293" s="90"/>
      <c r="H293" s="90"/>
      <c r="I293" s="90"/>
      <c r="J293" s="90"/>
      <c r="K293" s="90"/>
      <c r="L293" s="90"/>
      <c r="M293" s="90"/>
      <c r="N293" s="90"/>
      <c r="O293" s="90"/>
      <c r="P293" s="90"/>
      <c r="Q293" s="90"/>
      <c r="R293" s="90"/>
      <c r="S293" s="90"/>
      <c r="T293" s="90"/>
      <c r="U293" s="89"/>
      <c r="V293" s="148" t="s">
        <v>239</v>
      </c>
      <c r="W293" s="96"/>
      <c r="X293" s="1156"/>
      <c r="Y293" s="1156"/>
      <c r="Z293" s="1156"/>
      <c r="AA293" s="1156"/>
      <c r="AB293" s="1156"/>
      <c r="AC293" s="90"/>
      <c r="AD293" s="127" t="s">
        <v>854</v>
      </c>
      <c r="AE293" s="1165"/>
      <c r="AF293" s="1166"/>
      <c r="AG293" s="1166"/>
      <c r="AH293" s="1166"/>
      <c r="AI293" s="1166"/>
      <c r="AJ293" s="1166"/>
      <c r="AK293" s="1166"/>
      <c r="AL293" s="1167"/>
    </row>
    <row r="294" spans="2:39">
      <c r="B294" s="1164"/>
      <c r="C294" s="1215"/>
      <c r="D294" s="1216"/>
      <c r="E294" s="115" t="s">
        <v>754</v>
      </c>
      <c r="F294" s="138" t="s">
        <v>197</v>
      </c>
      <c r="G294" s="90"/>
      <c r="H294" s="90"/>
      <c r="I294" s="90"/>
      <c r="J294" s="90"/>
      <c r="K294" s="90"/>
      <c r="L294" s="90"/>
      <c r="M294" s="90"/>
      <c r="N294" s="90"/>
      <c r="O294" s="90"/>
      <c r="P294" s="90"/>
      <c r="Q294" s="90"/>
      <c r="R294" s="90"/>
      <c r="S294" s="90"/>
      <c r="T294" s="90"/>
      <c r="U294" s="90"/>
      <c r="V294" s="90"/>
      <c r="W294" s="90"/>
      <c r="X294" s="90"/>
      <c r="Y294" s="90"/>
      <c r="Z294" s="90"/>
      <c r="AA294" s="90"/>
      <c r="AB294" s="90"/>
      <c r="AC294" s="90"/>
      <c r="AD294" s="89"/>
      <c r="AE294" s="140" t="s">
        <v>240</v>
      </c>
      <c r="AF294" s="120"/>
      <c r="AG294" s="1156">
        <v>0</v>
      </c>
      <c r="AH294" s="1156"/>
      <c r="AI294" s="1156"/>
      <c r="AJ294" s="1156"/>
      <c r="AK294" s="1156"/>
      <c r="AL294" s="223" t="s">
        <v>854</v>
      </c>
      <c r="AM294" s="83"/>
    </row>
    <row r="295" spans="2:39" ht="24" customHeight="1">
      <c r="B295" s="1164"/>
      <c r="C295" s="1216"/>
      <c r="D295" s="81" t="s">
        <v>797</v>
      </c>
      <c r="E295" s="1179" t="s">
        <v>241</v>
      </c>
      <c r="F295" s="1180"/>
      <c r="G295" s="1180"/>
      <c r="H295" s="1180"/>
      <c r="I295" s="1180"/>
      <c r="J295" s="1180"/>
      <c r="K295" s="1180"/>
      <c r="L295" s="1180"/>
      <c r="M295" s="1180"/>
      <c r="N295" s="1180"/>
      <c r="O295" s="1180"/>
      <c r="P295" s="1180"/>
      <c r="Q295" s="1180"/>
      <c r="R295" s="1180"/>
      <c r="S295" s="1180"/>
      <c r="T295" s="1180"/>
      <c r="U295" s="1180"/>
      <c r="V295" s="1180"/>
      <c r="W295" s="1180"/>
      <c r="X295" s="1180"/>
      <c r="Y295" s="1180"/>
      <c r="Z295" s="1180"/>
      <c r="AA295" s="1180"/>
      <c r="AB295" s="1180"/>
      <c r="AC295" s="82"/>
      <c r="AD295" s="81"/>
      <c r="AE295" s="142" t="s">
        <v>198</v>
      </c>
      <c r="AF295" s="120"/>
      <c r="AG295" s="1156"/>
      <c r="AH295" s="1156"/>
      <c r="AI295" s="1156"/>
      <c r="AJ295" s="1156"/>
      <c r="AK295" s="1156"/>
      <c r="AL295" s="223" t="s">
        <v>854</v>
      </c>
      <c r="AM295" s="83"/>
    </row>
    <row r="296" spans="2:39">
      <c r="B296" s="1164"/>
      <c r="C296" s="115">
        <v>9</v>
      </c>
      <c r="D296" s="138" t="s">
        <v>139</v>
      </c>
      <c r="E296" s="90"/>
      <c r="F296" s="90"/>
      <c r="G296" s="90"/>
      <c r="H296" s="90"/>
      <c r="I296" s="90"/>
      <c r="J296" s="90"/>
      <c r="K296" s="90"/>
      <c r="L296" s="90"/>
      <c r="M296" s="90"/>
      <c r="N296" s="90"/>
      <c r="O296" s="90"/>
      <c r="P296" s="90"/>
      <c r="Q296" s="90"/>
      <c r="R296" s="90"/>
      <c r="S296" s="90"/>
      <c r="T296" s="90"/>
      <c r="U296" s="90"/>
      <c r="V296" s="90"/>
      <c r="W296" s="90"/>
      <c r="X296" s="90"/>
      <c r="Y296" s="90"/>
      <c r="Z296" s="90"/>
      <c r="AA296" s="90"/>
      <c r="AB296" s="90"/>
      <c r="AC296" s="90"/>
      <c r="AD296" s="90"/>
      <c r="AE296" s="1159"/>
      <c r="AF296" s="1160"/>
      <c r="AG296" s="1160"/>
      <c r="AH296" s="1160"/>
      <c r="AI296" s="1160"/>
      <c r="AJ296" s="1160"/>
      <c r="AK296" s="1160"/>
      <c r="AL296" s="1161"/>
      <c r="AM296" s="83"/>
    </row>
    <row r="297" spans="2:39" ht="14.1" customHeight="1">
      <c r="B297" s="1164"/>
      <c r="C297" s="1214"/>
      <c r="D297" s="109" t="s">
        <v>613</v>
      </c>
      <c r="E297" s="1177" t="s">
        <v>242</v>
      </c>
      <c r="F297" s="1178"/>
      <c r="G297" s="1178"/>
      <c r="H297" s="1178"/>
      <c r="I297" s="1178"/>
      <c r="J297" s="1178"/>
      <c r="K297" s="1178"/>
      <c r="L297" s="1178"/>
      <c r="M297" s="1178"/>
      <c r="N297" s="1178"/>
      <c r="O297" s="1178"/>
      <c r="P297" s="1178"/>
      <c r="Q297" s="1178"/>
      <c r="R297" s="1178"/>
      <c r="S297" s="1178"/>
      <c r="T297" s="1178"/>
      <c r="U297" s="90"/>
      <c r="V297" s="115" t="s">
        <v>756</v>
      </c>
      <c r="W297" s="96"/>
      <c r="X297" s="1156"/>
      <c r="Y297" s="1156"/>
      <c r="Z297" s="1156"/>
      <c r="AA297" s="1156"/>
      <c r="AB297" s="1156"/>
      <c r="AC297" s="90"/>
      <c r="AD297" s="127" t="s">
        <v>854</v>
      </c>
      <c r="AE297" s="1162"/>
      <c r="AF297" s="1163"/>
      <c r="AG297" s="1163"/>
      <c r="AH297" s="1163"/>
      <c r="AI297" s="1163"/>
      <c r="AJ297" s="1163"/>
      <c r="AK297" s="1163"/>
      <c r="AL297" s="1164"/>
      <c r="AM297" s="83"/>
    </row>
    <row r="298" spans="2:39" ht="37.5" customHeight="1">
      <c r="B298" s="1164"/>
      <c r="C298" s="1215"/>
      <c r="D298" s="100" t="s">
        <v>615</v>
      </c>
      <c r="E298" s="1179" t="s">
        <v>243</v>
      </c>
      <c r="F298" s="1180"/>
      <c r="G298" s="1180"/>
      <c r="H298" s="1180"/>
      <c r="I298" s="1180"/>
      <c r="J298" s="1180"/>
      <c r="K298" s="1180"/>
      <c r="L298" s="1180"/>
      <c r="M298" s="1180"/>
      <c r="N298" s="1180"/>
      <c r="O298" s="1180"/>
      <c r="P298" s="1180"/>
      <c r="Q298" s="1180"/>
      <c r="R298" s="1180"/>
      <c r="S298" s="1180"/>
      <c r="T298" s="1180"/>
      <c r="U298" s="90"/>
      <c r="V298" s="100" t="s">
        <v>757</v>
      </c>
      <c r="W298" s="90"/>
      <c r="X298" s="1155"/>
      <c r="Y298" s="1155"/>
      <c r="Z298" s="1155"/>
      <c r="AA298" s="1155"/>
      <c r="AB298" s="1155"/>
      <c r="AC298" s="90"/>
      <c r="AD298" s="234" t="s">
        <v>854</v>
      </c>
      <c r="AE298" s="1162"/>
      <c r="AF298" s="1163"/>
      <c r="AG298" s="1163"/>
      <c r="AH298" s="1163"/>
      <c r="AI298" s="1163"/>
      <c r="AJ298" s="1163"/>
      <c r="AK298" s="1163"/>
      <c r="AL298" s="1164"/>
      <c r="AM298" s="83"/>
    </row>
    <row r="299" spans="2:39" ht="14.1" customHeight="1">
      <c r="B299" s="1164"/>
      <c r="C299" s="1215"/>
      <c r="D299" s="115" t="s">
        <v>617</v>
      </c>
      <c r="E299" s="140" t="s">
        <v>244</v>
      </c>
      <c r="F299" s="90"/>
      <c r="G299" s="90"/>
      <c r="H299" s="90"/>
      <c r="I299" s="90"/>
      <c r="J299" s="90"/>
      <c r="K299" s="90"/>
      <c r="L299" s="90"/>
      <c r="M299" s="90"/>
      <c r="N299" s="90"/>
      <c r="O299" s="90"/>
      <c r="P299" s="90"/>
      <c r="Q299" s="90"/>
      <c r="R299" s="90"/>
      <c r="S299" s="90"/>
      <c r="T299" s="90"/>
      <c r="U299" s="90"/>
      <c r="V299" s="115" t="s">
        <v>758</v>
      </c>
      <c r="W299" s="96"/>
      <c r="X299" s="1156"/>
      <c r="Y299" s="1156"/>
      <c r="Z299" s="1156"/>
      <c r="AA299" s="1156"/>
      <c r="AB299" s="1156"/>
      <c r="AC299" s="90"/>
      <c r="AD299" s="127" t="s">
        <v>854</v>
      </c>
      <c r="AE299" s="1162"/>
      <c r="AF299" s="1163"/>
      <c r="AG299" s="1163"/>
      <c r="AH299" s="1163"/>
      <c r="AI299" s="1163"/>
      <c r="AJ299" s="1163"/>
      <c r="AK299" s="1163"/>
      <c r="AL299" s="1164"/>
      <c r="AM299" s="83"/>
    </row>
    <row r="300" spans="2:39" ht="50.25" customHeight="1">
      <c r="B300" s="1164"/>
      <c r="C300" s="1215"/>
      <c r="D300" s="100" t="s">
        <v>615</v>
      </c>
      <c r="E300" s="1179" t="s">
        <v>245</v>
      </c>
      <c r="F300" s="1180"/>
      <c r="G300" s="1180"/>
      <c r="H300" s="1180"/>
      <c r="I300" s="1180"/>
      <c r="J300" s="1180"/>
      <c r="K300" s="1180"/>
      <c r="L300" s="1180"/>
      <c r="M300" s="1180"/>
      <c r="N300" s="1180"/>
      <c r="O300" s="1180"/>
      <c r="P300" s="1180"/>
      <c r="Q300" s="1180"/>
      <c r="R300" s="1180"/>
      <c r="S300" s="1180"/>
      <c r="T300" s="1180"/>
      <c r="U300" s="90"/>
      <c r="V300" s="100" t="s">
        <v>759</v>
      </c>
      <c r="W300" s="90"/>
      <c r="X300" s="1155"/>
      <c r="Y300" s="1155"/>
      <c r="Z300" s="1155"/>
      <c r="AA300" s="1155"/>
      <c r="AB300" s="1155"/>
      <c r="AC300" s="90"/>
      <c r="AD300" s="234" t="s">
        <v>854</v>
      </c>
      <c r="AE300" s="1162"/>
      <c r="AF300" s="1163"/>
      <c r="AG300" s="1163"/>
      <c r="AH300" s="1163"/>
      <c r="AI300" s="1163"/>
      <c r="AJ300" s="1163"/>
      <c r="AK300" s="1163"/>
      <c r="AL300" s="1164"/>
      <c r="AM300" s="83"/>
    </row>
    <row r="301" spans="2:39" ht="14.1" customHeight="1">
      <c r="B301" s="1164"/>
      <c r="C301" s="1215"/>
      <c r="D301" s="115" t="s">
        <v>726</v>
      </c>
      <c r="E301" s="140" t="s">
        <v>213</v>
      </c>
      <c r="F301" s="90"/>
      <c r="G301" s="90"/>
      <c r="H301" s="90"/>
      <c r="I301" s="90"/>
      <c r="J301" s="90"/>
      <c r="K301" s="90"/>
      <c r="L301" s="90"/>
      <c r="M301" s="90"/>
      <c r="N301" s="90"/>
      <c r="O301" s="90"/>
      <c r="P301" s="90"/>
      <c r="Q301" s="90"/>
      <c r="R301" s="90"/>
      <c r="S301" s="90"/>
      <c r="T301" s="90"/>
      <c r="U301" s="90"/>
      <c r="V301" s="115" t="s">
        <v>829</v>
      </c>
      <c r="W301" s="96"/>
      <c r="X301" s="1156"/>
      <c r="Y301" s="1156"/>
      <c r="Z301" s="1156"/>
      <c r="AA301" s="1156"/>
      <c r="AB301" s="1156"/>
      <c r="AC301" s="90"/>
      <c r="AD301" s="127" t="s">
        <v>854</v>
      </c>
      <c r="AE301" s="1165"/>
      <c r="AF301" s="1166"/>
      <c r="AG301" s="1166"/>
      <c r="AH301" s="1166"/>
      <c r="AI301" s="1166"/>
      <c r="AJ301" s="1166"/>
      <c r="AK301" s="1166"/>
      <c r="AL301" s="1167"/>
      <c r="AM301" s="83"/>
    </row>
    <row r="302" spans="2:39" ht="14.1" customHeight="1">
      <c r="B302" s="1164"/>
      <c r="C302" s="1216"/>
      <c r="D302" s="115" t="s">
        <v>750</v>
      </c>
      <c r="E302" s="1196" t="s">
        <v>246</v>
      </c>
      <c r="F302" s="1197"/>
      <c r="G302" s="1197"/>
      <c r="H302" s="1197"/>
      <c r="I302" s="1197"/>
      <c r="J302" s="1197"/>
      <c r="K302" s="1197"/>
      <c r="L302" s="1197"/>
      <c r="M302" s="1197"/>
      <c r="N302" s="1197"/>
      <c r="O302" s="1197"/>
      <c r="P302" s="1197"/>
      <c r="Q302" s="1197"/>
      <c r="R302" s="1197"/>
      <c r="S302" s="1197"/>
      <c r="T302" s="1197"/>
      <c r="U302" s="1197"/>
      <c r="V302" s="1197"/>
      <c r="W302" s="1197"/>
      <c r="X302" s="1197"/>
      <c r="Y302" s="1197"/>
      <c r="Z302" s="1197"/>
      <c r="AA302" s="1197"/>
      <c r="AB302" s="1197"/>
      <c r="AC302" s="1197"/>
      <c r="AD302" s="1198"/>
      <c r="AE302" s="115" t="s">
        <v>247</v>
      </c>
      <c r="AF302" s="91"/>
      <c r="AG302" s="1156">
        <v>0</v>
      </c>
      <c r="AH302" s="1156"/>
      <c r="AI302" s="1156"/>
      <c r="AJ302" s="1156"/>
      <c r="AK302" s="1156"/>
      <c r="AL302" s="223" t="s">
        <v>854</v>
      </c>
      <c r="AM302" s="83"/>
    </row>
    <row r="303" spans="2:39" ht="26.25" customHeight="1">
      <c r="B303" s="1164"/>
      <c r="C303" s="97">
        <v>10</v>
      </c>
      <c r="D303" s="1320" t="s">
        <v>248</v>
      </c>
      <c r="E303" s="1321"/>
      <c r="F303" s="1321"/>
      <c r="G303" s="1321"/>
      <c r="H303" s="1321"/>
      <c r="I303" s="1321"/>
      <c r="J303" s="1321"/>
      <c r="K303" s="1321"/>
      <c r="L303" s="1321"/>
      <c r="M303" s="1321"/>
      <c r="N303" s="1321"/>
      <c r="O303" s="1321"/>
      <c r="P303" s="1321"/>
      <c r="Q303" s="1321"/>
      <c r="R303" s="1321"/>
      <c r="S303" s="1321"/>
      <c r="T303" s="1321"/>
      <c r="U303" s="1321"/>
      <c r="V303" s="1321"/>
      <c r="W303" s="1321"/>
      <c r="X303" s="1321"/>
      <c r="Y303" s="1321"/>
      <c r="Z303" s="1321"/>
      <c r="AA303" s="1321"/>
      <c r="AB303" s="1321"/>
      <c r="AC303" s="90"/>
      <c r="AD303" s="90"/>
      <c r="AE303" s="1159"/>
      <c r="AF303" s="1160"/>
      <c r="AG303" s="1160"/>
      <c r="AH303" s="1160"/>
      <c r="AI303" s="1160"/>
      <c r="AJ303" s="1160"/>
      <c r="AK303" s="1160"/>
      <c r="AL303" s="1161"/>
      <c r="AM303" s="83"/>
    </row>
    <row r="304" spans="2:39" ht="23.25" customHeight="1">
      <c r="B304" s="1164"/>
      <c r="C304" s="1214"/>
      <c r="D304" s="100" t="s">
        <v>613</v>
      </c>
      <c r="E304" s="1179" t="s">
        <v>249</v>
      </c>
      <c r="F304" s="1180"/>
      <c r="G304" s="1180"/>
      <c r="H304" s="1180"/>
      <c r="I304" s="1180"/>
      <c r="J304" s="1180"/>
      <c r="K304" s="1180"/>
      <c r="L304" s="1180"/>
      <c r="M304" s="1180"/>
      <c r="N304" s="1180"/>
      <c r="O304" s="1180"/>
      <c r="P304" s="1180"/>
      <c r="Q304" s="1180"/>
      <c r="R304" s="1180"/>
      <c r="S304" s="1180"/>
      <c r="T304" s="1180"/>
      <c r="V304" s="100" t="s">
        <v>830</v>
      </c>
      <c r="W304" s="90"/>
      <c r="X304" s="1155"/>
      <c r="Y304" s="1155"/>
      <c r="Z304" s="1155"/>
      <c r="AA304" s="1155"/>
      <c r="AB304" s="1155"/>
      <c r="AC304" s="90"/>
      <c r="AD304" s="234" t="s">
        <v>854</v>
      </c>
      <c r="AE304" s="1162"/>
      <c r="AF304" s="1163"/>
      <c r="AG304" s="1163"/>
      <c r="AH304" s="1163"/>
      <c r="AI304" s="1163"/>
      <c r="AJ304" s="1163"/>
      <c r="AK304" s="1163"/>
      <c r="AL304" s="1164"/>
      <c r="AM304" s="83"/>
    </row>
    <row r="305" spans="2:39" ht="38.25" customHeight="1">
      <c r="B305" s="1164"/>
      <c r="C305" s="1215"/>
      <c r="D305" s="100" t="s">
        <v>615</v>
      </c>
      <c r="E305" s="1179" t="s">
        <v>250</v>
      </c>
      <c r="F305" s="1180"/>
      <c r="G305" s="1180"/>
      <c r="H305" s="1180"/>
      <c r="I305" s="1180"/>
      <c r="J305" s="1180"/>
      <c r="K305" s="1180"/>
      <c r="L305" s="1180"/>
      <c r="M305" s="1180"/>
      <c r="N305" s="1180"/>
      <c r="O305" s="1180"/>
      <c r="P305" s="1180"/>
      <c r="Q305" s="1180"/>
      <c r="R305" s="1180"/>
      <c r="S305" s="1180"/>
      <c r="T305" s="1180"/>
      <c r="U305" s="90"/>
      <c r="V305" s="100" t="s">
        <v>831</v>
      </c>
      <c r="W305" s="90"/>
      <c r="X305" s="1155"/>
      <c r="Y305" s="1155"/>
      <c r="Z305" s="1155"/>
      <c r="AA305" s="1155"/>
      <c r="AB305" s="1155"/>
      <c r="AC305" s="90"/>
      <c r="AD305" s="234" t="s">
        <v>854</v>
      </c>
      <c r="AE305" s="1162"/>
      <c r="AF305" s="1163"/>
      <c r="AG305" s="1163"/>
      <c r="AH305" s="1163"/>
      <c r="AI305" s="1163"/>
      <c r="AJ305" s="1163"/>
      <c r="AK305" s="1163"/>
      <c r="AL305" s="1164"/>
      <c r="AM305" s="83"/>
    </row>
    <row r="306" spans="2:39" ht="24.75" customHeight="1">
      <c r="B306" s="1164"/>
      <c r="C306" s="1215"/>
      <c r="D306" s="100" t="s">
        <v>617</v>
      </c>
      <c r="E306" s="1179" t="s">
        <v>251</v>
      </c>
      <c r="F306" s="1180"/>
      <c r="G306" s="1180"/>
      <c r="H306" s="1180"/>
      <c r="I306" s="1180"/>
      <c r="J306" s="1180"/>
      <c r="K306" s="1180"/>
      <c r="L306" s="1180"/>
      <c r="M306" s="1180"/>
      <c r="N306" s="1180"/>
      <c r="O306" s="1180"/>
      <c r="P306" s="1180"/>
      <c r="Q306" s="1180"/>
      <c r="R306" s="1180"/>
      <c r="S306" s="1180"/>
      <c r="T306" s="1180"/>
      <c r="V306" s="100" t="s">
        <v>832</v>
      </c>
      <c r="W306" s="90"/>
      <c r="X306" s="1155"/>
      <c r="Y306" s="1155"/>
      <c r="Z306" s="1155"/>
      <c r="AA306" s="1155"/>
      <c r="AB306" s="1155"/>
      <c r="AC306" s="90"/>
      <c r="AD306" s="234" t="s">
        <v>854</v>
      </c>
      <c r="AE306" s="1162"/>
      <c r="AF306" s="1163"/>
      <c r="AG306" s="1163"/>
      <c r="AH306" s="1163"/>
      <c r="AI306" s="1163"/>
      <c r="AJ306" s="1163"/>
      <c r="AK306" s="1163"/>
      <c r="AL306" s="1164"/>
      <c r="AM306" s="83"/>
    </row>
    <row r="307" spans="2:39" ht="39.75" customHeight="1">
      <c r="B307" s="1164"/>
      <c r="C307" s="1215"/>
      <c r="D307" s="100" t="s">
        <v>619</v>
      </c>
      <c r="E307" s="1179" t="s">
        <v>252</v>
      </c>
      <c r="F307" s="1180"/>
      <c r="G307" s="1180"/>
      <c r="H307" s="1180"/>
      <c r="I307" s="1180"/>
      <c r="J307" s="1180"/>
      <c r="K307" s="1180"/>
      <c r="L307" s="1180"/>
      <c r="M307" s="1180"/>
      <c r="N307" s="1180"/>
      <c r="O307" s="1180"/>
      <c r="P307" s="1180"/>
      <c r="Q307" s="1180"/>
      <c r="R307" s="1180"/>
      <c r="S307" s="1180"/>
      <c r="T307" s="1180"/>
      <c r="U307" s="90"/>
      <c r="V307" s="100" t="s">
        <v>833</v>
      </c>
      <c r="W307" s="90"/>
      <c r="X307" s="1155"/>
      <c r="Y307" s="1155"/>
      <c r="Z307" s="1155"/>
      <c r="AA307" s="1155"/>
      <c r="AB307" s="1155"/>
      <c r="AC307" s="90"/>
      <c r="AD307" s="234" t="s">
        <v>854</v>
      </c>
      <c r="AE307" s="1162"/>
      <c r="AF307" s="1163"/>
      <c r="AG307" s="1163"/>
      <c r="AH307" s="1163"/>
      <c r="AI307" s="1163"/>
      <c r="AJ307" s="1163"/>
      <c r="AK307" s="1163"/>
      <c r="AL307" s="1164"/>
      <c r="AM307" s="83"/>
    </row>
    <row r="308" spans="2:39" ht="27.75" customHeight="1">
      <c r="B308" s="1164"/>
      <c r="C308" s="1215"/>
      <c r="D308" s="100" t="s">
        <v>726</v>
      </c>
      <c r="E308" s="1179" t="s">
        <v>253</v>
      </c>
      <c r="F308" s="1180"/>
      <c r="G308" s="1180"/>
      <c r="H308" s="1180"/>
      <c r="I308" s="1180"/>
      <c r="J308" s="1180"/>
      <c r="K308" s="1180"/>
      <c r="L308" s="1180"/>
      <c r="M308" s="1180"/>
      <c r="N308" s="1180"/>
      <c r="O308" s="1180"/>
      <c r="P308" s="1180"/>
      <c r="Q308" s="1180"/>
      <c r="R308" s="1180"/>
      <c r="S308" s="1180"/>
      <c r="T308" s="1180"/>
      <c r="V308" s="100" t="s">
        <v>834</v>
      </c>
      <c r="W308" s="90"/>
      <c r="X308" s="1155"/>
      <c r="Y308" s="1155"/>
      <c r="Z308" s="1155"/>
      <c r="AA308" s="1155"/>
      <c r="AB308" s="1155"/>
      <c r="AC308" s="90"/>
      <c r="AD308" s="234" t="s">
        <v>854</v>
      </c>
      <c r="AE308" s="1162"/>
      <c r="AF308" s="1163"/>
      <c r="AG308" s="1163"/>
      <c r="AH308" s="1163"/>
      <c r="AI308" s="1163"/>
      <c r="AJ308" s="1163"/>
      <c r="AK308" s="1163"/>
      <c r="AL308" s="1164"/>
      <c r="AM308" s="83"/>
    </row>
    <row r="309" spans="2:39" ht="14.25" customHeight="1">
      <c r="B309" s="1164"/>
      <c r="C309" s="1215"/>
      <c r="D309" s="115" t="s">
        <v>750</v>
      </c>
      <c r="E309" s="1179" t="s">
        <v>254</v>
      </c>
      <c r="F309" s="1180"/>
      <c r="G309" s="1180"/>
      <c r="H309" s="1180"/>
      <c r="I309" s="1180"/>
      <c r="J309" s="1180"/>
      <c r="K309" s="1180"/>
      <c r="L309" s="1180"/>
      <c r="M309" s="1180"/>
      <c r="N309" s="1180"/>
      <c r="O309" s="1180"/>
      <c r="P309" s="1180"/>
      <c r="Q309" s="1180"/>
      <c r="R309" s="1180"/>
      <c r="S309" s="1180"/>
      <c r="T309" s="1180"/>
      <c r="U309" s="90"/>
      <c r="V309" s="115" t="s">
        <v>835</v>
      </c>
      <c r="W309" s="90"/>
      <c r="X309" s="1155"/>
      <c r="Y309" s="1155"/>
      <c r="Z309" s="1155"/>
      <c r="AA309" s="1155"/>
      <c r="AB309" s="1155"/>
      <c r="AC309" s="90"/>
      <c r="AD309" s="234" t="s">
        <v>854</v>
      </c>
      <c r="AE309" s="1165"/>
      <c r="AF309" s="1166"/>
      <c r="AG309" s="1166"/>
      <c r="AH309" s="1166"/>
      <c r="AI309" s="1166"/>
      <c r="AJ309" s="1166"/>
      <c r="AK309" s="1166"/>
      <c r="AL309" s="1167"/>
      <c r="AM309" s="83"/>
    </row>
    <row r="310" spans="2:39" ht="14.1" customHeight="1">
      <c r="B310" s="1164"/>
      <c r="C310" s="1216"/>
      <c r="D310" s="115" t="s">
        <v>752</v>
      </c>
      <c r="E310" s="138" t="s">
        <v>422</v>
      </c>
      <c r="F310" s="90"/>
      <c r="G310" s="90"/>
      <c r="H310" s="90"/>
      <c r="I310" s="90"/>
      <c r="J310" s="90"/>
      <c r="K310" s="90"/>
      <c r="L310" s="90"/>
      <c r="M310" s="90"/>
      <c r="N310" s="90"/>
      <c r="O310" s="90"/>
      <c r="P310" s="90"/>
      <c r="Q310" s="90"/>
      <c r="R310" s="90"/>
      <c r="S310" s="90"/>
      <c r="T310" s="90"/>
      <c r="U310" s="90"/>
      <c r="V310" s="91"/>
      <c r="W310" s="90"/>
      <c r="X310" s="90"/>
      <c r="Y310" s="90"/>
      <c r="Z310" s="90"/>
      <c r="AA310" s="90"/>
      <c r="AB310" s="90"/>
      <c r="AC310" s="90"/>
      <c r="AD310" s="90"/>
      <c r="AE310" s="115" t="s">
        <v>200</v>
      </c>
      <c r="AF310" s="91"/>
      <c r="AG310" s="1156">
        <v>0</v>
      </c>
      <c r="AH310" s="1156"/>
      <c r="AI310" s="1156"/>
      <c r="AJ310" s="1156"/>
      <c r="AK310" s="1156"/>
      <c r="AL310" s="223" t="s">
        <v>854</v>
      </c>
      <c r="AM310" s="83"/>
    </row>
    <row r="311" spans="2:39" ht="25.5" customHeight="1">
      <c r="B311" s="1164"/>
      <c r="C311" s="100">
        <v>11</v>
      </c>
      <c r="D311" s="1179" t="s">
        <v>255</v>
      </c>
      <c r="E311" s="1180"/>
      <c r="F311" s="1180"/>
      <c r="G311" s="1180"/>
      <c r="H311" s="1180"/>
      <c r="I311" s="1180"/>
      <c r="J311" s="1180"/>
      <c r="K311" s="1180"/>
      <c r="L311" s="1180"/>
      <c r="M311" s="1180"/>
      <c r="N311" s="1180"/>
      <c r="O311" s="1180"/>
      <c r="P311" s="1180"/>
      <c r="Q311" s="1180"/>
      <c r="R311" s="1180"/>
      <c r="S311" s="1180"/>
      <c r="T311" s="1180"/>
      <c r="U311" s="1180"/>
      <c r="V311" s="1180"/>
      <c r="W311" s="1180"/>
      <c r="X311" s="1180"/>
      <c r="Y311" s="1180"/>
      <c r="Z311" s="1180"/>
      <c r="AA311" s="1180"/>
      <c r="AB311" s="1180"/>
      <c r="AC311" s="90"/>
      <c r="AD311" s="90"/>
      <c r="AE311" s="1159"/>
      <c r="AF311" s="1160"/>
      <c r="AG311" s="1160"/>
      <c r="AH311" s="1160"/>
      <c r="AI311" s="1160"/>
      <c r="AJ311" s="1160"/>
      <c r="AK311" s="1160"/>
      <c r="AL311" s="1161"/>
      <c r="AM311" s="83"/>
    </row>
    <row r="312" spans="2:39" ht="23.25" customHeight="1">
      <c r="B312" s="1164"/>
      <c r="C312" s="1214"/>
      <c r="D312" s="100" t="s">
        <v>613</v>
      </c>
      <c r="E312" s="1179" t="s">
        <v>249</v>
      </c>
      <c r="F312" s="1180"/>
      <c r="G312" s="1180"/>
      <c r="H312" s="1180"/>
      <c r="I312" s="1180"/>
      <c r="J312" s="1180"/>
      <c r="K312" s="1180"/>
      <c r="L312" s="1180"/>
      <c r="M312" s="1180"/>
      <c r="N312" s="1180"/>
      <c r="O312" s="1180"/>
      <c r="P312" s="1180"/>
      <c r="Q312" s="1180"/>
      <c r="R312" s="1180"/>
      <c r="S312" s="1180"/>
      <c r="T312" s="1180"/>
      <c r="V312" s="100" t="s">
        <v>429</v>
      </c>
      <c r="W312" s="90"/>
      <c r="X312" s="1155"/>
      <c r="Y312" s="1155"/>
      <c r="Z312" s="1155"/>
      <c r="AA312" s="1155"/>
      <c r="AB312" s="1155"/>
      <c r="AC312" s="90"/>
      <c r="AD312" s="234" t="s">
        <v>854</v>
      </c>
      <c r="AE312" s="1162"/>
      <c r="AF312" s="1163"/>
      <c r="AG312" s="1163"/>
      <c r="AH312" s="1163"/>
      <c r="AI312" s="1163"/>
      <c r="AJ312" s="1163"/>
      <c r="AK312" s="1163"/>
      <c r="AL312" s="1164"/>
      <c r="AM312" s="83"/>
    </row>
    <row r="313" spans="2:39" ht="40.5" customHeight="1">
      <c r="B313" s="1164"/>
      <c r="C313" s="1215"/>
      <c r="D313" s="100" t="s">
        <v>615</v>
      </c>
      <c r="E313" s="1179" t="s">
        <v>250</v>
      </c>
      <c r="F313" s="1180"/>
      <c r="G313" s="1180"/>
      <c r="H313" s="1180"/>
      <c r="I313" s="1180"/>
      <c r="J313" s="1180"/>
      <c r="K313" s="1180"/>
      <c r="L313" s="1180"/>
      <c r="M313" s="1180"/>
      <c r="N313" s="1180"/>
      <c r="O313" s="1180"/>
      <c r="P313" s="1180"/>
      <c r="Q313" s="1180"/>
      <c r="R313" s="1180"/>
      <c r="S313" s="1180"/>
      <c r="T313" s="1180"/>
      <c r="U313" s="90"/>
      <c r="V313" s="100" t="s">
        <v>430</v>
      </c>
      <c r="W313" s="90"/>
      <c r="X313" s="1155"/>
      <c r="Y313" s="1155"/>
      <c r="Z313" s="1155"/>
      <c r="AA313" s="1155"/>
      <c r="AB313" s="1155"/>
      <c r="AC313" s="90"/>
      <c r="AD313" s="234" t="s">
        <v>854</v>
      </c>
      <c r="AE313" s="1162"/>
      <c r="AF313" s="1163"/>
      <c r="AG313" s="1163"/>
      <c r="AH313" s="1163"/>
      <c r="AI313" s="1163"/>
      <c r="AJ313" s="1163"/>
      <c r="AK313" s="1163"/>
      <c r="AL313" s="1164"/>
      <c r="AM313" s="83"/>
    </row>
    <row r="314" spans="2:39" ht="26.25" customHeight="1">
      <c r="B314" s="1164"/>
      <c r="C314" s="1215"/>
      <c r="D314" s="100" t="s">
        <v>617</v>
      </c>
      <c r="E314" s="1179" t="s">
        <v>251</v>
      </c>
      <c r="F314" s="1180"/>
      <c r="G314" s="1180"/>
      <c r="H314" s="1180"/>
      <c r="I314" s="1180"/>
      <c r="J314" s="1180"/>
      <c r="K314" s="1180"/>
      <c r="L314" s="1180"/>
      <c r="M314" s="1180"/>
      <c r="N314" s="1180"/>
      <c r="O314" s="1180"/>
      <c r="P314" s="1180"/>
      <c r="Q314" s="1180"/>
      <c r="R314" s="1180"/>
      <c r="S314" s="1180"/>
      <c r="T314" s="1180"/>
      <c r="V314" s="100" t="s">
        <v>431</v>
      </c>
      <c r="W314" s="90"/>
      <c r="X314" s="1155"/>
      <c r="Y314" s="1155"/>
      <c r="Z314" s="1155"/>
      <c r="AA314" s="1155"/>
      <c r="AB314" s="1155"/>
      <c r="AC314" s="90"/>
      <c r="AD314" s="234" t="s">
        <v>854</v>
      </c>
      <c r="AE314" s="1162"/>
      <c r="AF314" s="1163"/>
      <c r="AG314" s="1163"/>
      <c r="AH314" s="1163"/>
      <c r="AI314" s="1163"/>
      <c r="AJ314" s="1163"/>
      <c r="AK314" s="1163"/>
      <c r="AL314" s="1164"/>
      <c r="AM314" s="83"/>
    </row>
    <row r="315" spans="2:39" ht="39" customHeight="1">
      <c r="B315" s="1164"/>
      <c r="C315" s="1215"/>
      <c r="D315" s="100" t="s">
        <v>619</v>
      </c>
      <c r="E315" s="1179" t="s">
        <v>252</v>
      </c>
      <c r="F315" s="1180"/>
      <c r="G315" s="1180"/>
      <c r="H315" s="1180"/>
      <c r="I315" s="1180"/>
      <c r="J315" s="1180"/>
      <c r="K315" s="1180"/>
      <c r="L315" s="1180"/>
      <c r="M315" s="1180"/>
      <c r="N315" s="1180"/>
      <c r="O315" s="1180"/>
      <c r="P315" s="1180"/>
      <c r="Q315" s="1180"/>
      <c r="R315" s="1180"/>
      <c r="S315" s="1180"/>
      <c r="T315" s="1180"/>
      <c r="U315" s="90"/>
      <c r="V315" s="100" t="s">
        <v>428</v>
      </c>
      <c r="W315" s="90"/>
      <c r="X315" s="1155"/>
      <c r="Y315" s="1155"/>
      <c r="Z315" s="1155"/>
      <c r="AA315" s="1155"/>
      <c r="AB315" s="1155"/>
      <c r="AC315" s="90"/>
      <c r="AD315" s="234" t="s">
        <v>854</v>
      </c>
      <c r="AE315" s="1162"/>
      <c r="AF315" s="1163"/>
      <c r="AG315" s="1163"/>
      <c r="AH315" s="1163"/>
      <c r="AI315" s="1163"/>
      <c r="AJ315" s="1163"/>
      <c r="AK315" s="1163"/>
      <c r="AL315" s="1164"/>
      <c r="AM315" s="83"/>
    </row>
    <row r="316" spans="2:39" ht="24.75" customHeight="1">
      <c r="B316" s="1164"/>
      <c r="C316" s="1215"/>
      <c r="D316" s="100" t="s">
        <v>726</v>
      </c>
      <c r="E316" s="1179" t="s">
        <v>253</v>
      </c>
      <c r="F316" s="1180"/>
      <c r="G316" s="1180"/>
      <c r="H316" s="1180"/>
      <c r="I316" s="1180"/>
      <c r="J316" s="1180"/>
      <c r="K316" s="1180"/>
      <c r="L316" s="1180"/>
      <c r="M316" s="1180"/>
      <c r="N316" s="1180"/>
      <c r="O316" s="1180"/>
      <c r="P316" s="1180"/>
      <c r="Q316" s="1180"/>
      <c r="R316" s="1180"/>
      <c r="S316" s="1180"/>
      <c r="T316" s="1180"/>
      <c r="U316" s="90"/>
      <c r="V316" s="100" t="s">
        <v>836</v>
      </c>
      <c r="W316" s="90"/>
      <c r="X316" s="1155"/>
      <c r="Y316" s="1155"/>
      <c r="Z316" s="1155"/>
      <c r="AA316" s="1155"/>
      <c r="AB316" s="1155"/>
      <c r="AC316" s="90"/>
      <c r="AD316" s="234" t="s">
        <v>854</v>
      </c>
      <c r="AE316" s="1162"/>
      <c r="AF316" s="1163"/>
      <c r="AG316" s="1163"/>
      <c r="AH316" s="1163"/>
      <c r="AI316" s="1163"/>
      <c r="AJ316" s="1163"/>
      <c r="AK316" s="1163"/>
      <c r="AL316" s="1164"/>
      <c r="AM316" s="83"/>
    </row>
    <row r="317" spans="2:39" ht="13.5" customHeight="1">
      <c r="B317" s="1164"/>
      <c r="C317" s="1215"/>
      <c r="D317" s="115" t="s">
        <v>750</v>
      </c>
      <c r="E317" s="1179" t="s">
        <v>254</v>
      </c>
      <c r="F317" s="1180"/>
      <c r="G317" s="1180"/>
      <c r="H317" s="1180"/>
      <c r="I317" s="1180"/>
      <c r="J317" s="1180"/>
      <c r="K317" s="1180"/>
      <c r="L317" s="1180"/>
      <c r="M317" s="1180"/>
      <c r="N317" s="1180"/>
      <c r="O317" s="1180"/>
      <c r="P317" s="1180"/>
      <c r="Q317" s="1180"/>
      <c r="R317" s="1180"/>
      <c r="S317" s="1180"/>
      <c r="T317" s="1180"/>
      <c r="U317" s="90"/>
      <c r="V317" s="115" t="s">
        <v>199</v>
      </c>
      <c r="W317" s="90"/>
      <c r="X317" s="1155"/>
      <c r="Y317" s="1155"/>
      <c r="Z317" s="1155"/>
      <c r="AA317" s="1155"/>
      <c r="AB317" s="1155"/>
      <c r="AC317" s="90"/>
      <c r="AD317" s="127" t="s">
        <v>854</v>
      </c>
      <c r="AE317" s="1165"/>
      <c r="AF317" s="1166"/>
      <c r="AG317" s="1166"/>
      <c r="AH317" s="1166"/>
      <c r="AI317" s="1166"/>
      <c r="AJ317" s="1166"/>
      <c r="AK317" s="1166"/>
      <c r="AL317" s="1167"/>
      <c r="AM317" s="83"/>
    </row>
    <row r="318" spans="2:39" ht="14.25" customHeight="1">
      <c r="B318" s="1164"/>
      <c r="C318" s="1216"/>
      <c r="D318" s="115" t="s">
        <v>752</v>
      </c>
      <c r="E318" s="138" t="s">
        <v>423</v>
      </c>
      <c r="F318" s="90"/>
      <c r="G318" s="90"/>
      <c r="H318" s="90"/>
      <c r="I318" s="90"/>
      <c r="J318" s="90"/>
      <c r="K318" s="90"/>
      <c r="L318" s="90"/>
      <c r="M318" s="90"/>
      <c r="N318" s="90"/>
      <c r="O318" s="90"/>
      <c r="P318" s="90"/>
      <c r="Q318" s="90"/>
      <c r="R318" s="90"/>
      <c r="S318" s="90"/>
      <c r="T318" s="90"/>
      <c r="U318" s="90"/>
      <c r="V318" s="91"/>
      <c r="W318" s="90"/>
      <c r="X318" s="90"/>
      <c r="Y318" s="90"/>
      <c r="Z318" s="90"/>
      <c r="AA318" s="90"/>
      <c r="AB318" s="90"/>
      <c r="AC318" s="90"/>
      <c r="AD318" s="90"/>
      <c r="AE318" s="115" t="s">
        <v>199</v>
      </c>
      <c r="AF318" s="91"/>
      <c r="AG318" s="1156">
        <v>0</v>
      </c>
      <c r="AH318" s="1156"/>
      <c r="AI318" s="1156"/>
      <c r="AJ318" s="1156"/>
      <c r="AK318" s="1156"/>
      <c r="AL318" s="223" t="s">
        <v>854</v>
      </c>
      <c r="AM318" s="83"/>
    </row>
    <row r="319" spans="2:39" ht="15" customHeight="1">
      <c r="B319" s="1164"/>
      <c r="C319" s="104">
        <v>12</v>
      </c>
      <c r="D319" s="138" t="s">
        <v>256</v>
      </c>
      <c r="E319" s="90"/>
      <c r="F319" s="90"/>
      <c r="G319" s="90"/>
      <c r="H319" s="90"/>
      <c r="I319" s="90"/>
      <c r="J319" s="90"/>
      <c r="K319" s="90"/>
      <c r="L319" s="90"/>
      <c r="M319" s="90"/>
      <c r="N319" s="90"/>
      <c r="O319" s="90"/>
      <c r="P319" s="90"/>
      <c r="Q319" s="90"/>
      <c r="R319" s="90"/>
      <c r="S319" s="90"/>
      <c r="T319" s="90"/>
      <c r="U319" s="90"/>
      <c r="V319" s="91"/>
      <c r="W319" s="90"/>
      <c r="X319" s="90"/>
      <c r="Y319" s="90"/>
      <c r="Z319" s="90"/>
      <c r="AA319" s="90"/>
      <c r="AB319" s="90"/>
      <c r="AC319" s="90"/>
      <c r="AD319" s="90"/>
      <c r="AE319" s="1159"/>
      <c r="AF319" s="1160"/>
      <c r="AG319" s="1160"/>
      <c r="AH319" s="1160"/>
      <c r="AI319" s="1160"/>
      <c r="AJ319" s="1160"/>
      <c r="AK319" s="1160"/>
      <c r="AL319" s="1161"/>
      <c r="AM319" s="83"/>
    </row>
    <row r="320" spans="2:39">
      <c r="B320" s="1164"/>
      <c r="C320" s="1214"/>
      <c r="D320" s="109" t="s">
        <v>613</v>
      </c>
      <c r="E320" s="140" t="s">
        <v>257</v>
      </c>
      <c r="F320" s="90"/>
      <c r="G320" s="90"/>
      <c r="H320" s="90"/>
      <c r="I320" s="90"/>
      <c r="J320" s="90"/>
      <c r="K320" s="90"/>
      <c r="L320" s="90"/>
      <c r="M320" s="90"/>
      <c r="N320" s="90"/>
      <c r="O320" s="90"/>
      <c r="P320" s="90"/>
      <c r="Q320" s="90"/>
      <c r="R320" s="90"/>
      <c r="S320" s="90"/>
      <c r="T320" s="90"/>
      <c r="U320" s="90"/>
      <c r="V320" s="115" t="s">
        <v>837</v>
      </c>
      <c r="W320" s="96"/>
      <c r="X320" s="1156"/>
      <c r="Y320" s="1156"/>
      <c r="Z320" s="1156"/>
      <c r="AA320" s="1156"/>
      <c r="AB320" s="1156"/>
      <c r="AC320" s="90"/>
      <c r="AD320" s="127" t="s">
        <v>854</v>
      </c>
      <c r="AE320" s="1162"/>
      <c r="AF320" s="1163"/>
      <c r="AG320" s="1163"/>
      <c r="AH320" s="1163"/>
      <c r="AI320" s="1163"/>
      <c r="AJ320" s="1163"/>
      <c r="AK320" s="1163"/>
      <c r="AL320" s="1164"/>
      <c r="AM320" s="83"/>
    </row>
    <row r="321" spans="2:39">
      <c r="B321" s="1164"/>
      <c r="C321" s="1215"/>
      <c r="D321" s="115" t="s">
        <v>615</v>
      </c>
      <c r="E321" s="140" t="s">
        <v>41</v>
      </c>
      <c r="F321" s="90"/>
      <c r="G321" s="90"/>
      <c r="H321" s="90"/>
      <c r="I321" s="90"/>
      <c r="J321" s="90"/>
      <c r="K321" s="90"/>
      <c r="L321" s="90"/>
      <c r="M321" s="90"/>
      <c r="N321" s="90"/>
      <c r="O321" s="90"/>
      <c r="P321" s="90"/>
      <c r="Q321" s="90"/>
      <c r="R321" s="90"/>
      <c r="S321" s="90"/>
      <c r="T321" s="90"/>
      <c r="U321" s="90"/>
      <c r="V321" s="115" t="s">
        <v>838</v>
      </c>
      <c r="W321" s="96"/>
      <c r="X321" s="1156"/>
      <c r="Y321" s="1156"/>
      <c r="Z321" s="1156"/>
      <c r="AA321" s="1156"/>
      <c r="AB321" s="1156"/>
      <c r="AC321" s="90"/>
      <c r="AD321" s="127" t="s">
        <v>854</v>
      </c>
      <c r="AE321" s="1162"/>
      <c r="AF321" s="1163"/>
      <c r="AG321" s="1163"/>
      <c r="AH321" s="1163"/>
      <c r="AI321" s="1163"/>
      <c r="AJ321" s="1163"/>
      <c r="AK321" s="1163"/>
      <c r="AL321" s="1164"/>
      <c r="AM321" s="83"/>
    </row>
    <row r="322" spans="2:39">
      <c r="B322" s="1164"/>
      <c r="C322" s="1215"/>
      <c r="D322" s="115" t="s">
        <v>617</v>
      </c>
      <c r="E322" s="140" t="s">
        <v>258</v>
      </c>
      <c r="F322" s="90"/>
      <c r="G322" s="90"/>
      <c r="H322" s="90"/>
      <c r="I322" s="90"/>
      <c r="J322" s="90"/>
      <c r="K322" s="90"/>
      <c r="L322" s="90"/>
      <c r="M322" s="90"/>
      <c r="N322" s="90"/>
      <c r="O322" s="90"/>
      <c r="P322" s="90"/>
      <c r="Q322" s="90"/>
      <c r="R322" s="90"/>
      <c r="S322" s="90"/>
      <c r="T322" s="90"/>
      <c r="U322" s="90"/>
      <c r="V322" s="115" t="s">
        <v>839</v>
      </c>
      <c r="W322" s="96"/>
      <c r="X322" s="1156"/>
      <c r="Y322" s="1156"/>
      <c r="Z322" s="1156"/>
      <c r="AA322" s="1156"/>
      <c r="AB322" s="1156"/>
      <c r="AC322" s="90"/>
      <c r="AD322" s="127" t="s">
        <v>854</v>
      </c>
      <c r="AE322" s="1162"/>
      <c r="AF322" s="1163"/>
      <c r="AG322" s="1163"/>
      <c r="AH322" s="1163"/>
      <c r="AI322" s="1163"/>
      <c r="AJ322" s="1163"/>
      <c r="AK322" s="1163"/>
      <c r="AL322" s="1164"/>
      <c r="AM322" s="83"/>
    </row>
    <row r="323" spans="2:39">
      <c r="B323" s="1164"/>
      <c r="C323" s="1215"/>
      <c r="D323" s="115" t="s">
        <v>619</v>
      </c>
      <c r="E323" s="140" t="s">
        <v>259</v>
      </c>
      <c r="F323" s="90"/>
      <c r="G323" s="90"/>
      <c r="H323" s="90"/>
      <c r="I323" s="90"/>
      <c r="J323" s="90"/>
      <c r="K323" s="90"/>
      <c r="L323" s="90"/>
      <c r="M323" s="90"/>
      <c r="N323" s="90"/>
      <c r="O323" s="90"/>
      <c r="P323" s="90"/>
      <c r="Q323" s="90"/>
      <c r="R323" s="90"/>
      <c r="S323" s="90"/>
      <c r="T323" s="90"/>
      <c r="U323" s="90"/>
      <c r="V323" s="115" t="s">
        <v>840</v>
      </c>
      <c r="W323" s="96"/>
      <c r="X323" s="1156"/>
      <c r="Y323" s="1156"/>
      <c r="Z323" s="1156"/>
      <c r="AA323" s="1156"/>
      <c r="AB323" s="1156"/>
      <c r="AC323" s="90"/>
      <c r="AD323" s="127" t="s">
        <v>854</v>
      </c>
      <c r="AE323" s="1165"/>
      <c r="AF323" s="1166"/>
      <c r="AG323" s="1166"/>
      <c r="AH323" s="1166"/>
      <c r="AI323" s="1166"/>
      <c r="AJ323" s="1166"/>
      <c r="AK323" s="1166"/>
      <c r="AL323" s="1167"/>
      <c r="AM323" s="83"/>
    </row>
    <row r="324" spans="2:39" ht="14.1" customHeight="1">
      <c r="B324" s="1164"/>
      <c r="C324" s="1216"/>
      <c r="D324" s="115" t="s">
        <v>726</v>
      </c>
      <c r="E324" s="138" t="s">
        <v>260</v>
      </c>
      <c r="F324" s="90"/>
      <c r="G324" s="90"/>
      <c r="H324" s="90"/>
      <c r="I324" s="90"/>
      <c r="J324" s="90"/>
      <c r="K324" s="90"/>
      <c r="L324" s="90"/>
      <c r="M324" s="90"/>
      <c r="N324" s="90"/>
      <c r="O324" s="90"/>
      <c r="P324" s="90"/>
      <c r="Q324" s="90"/>
      <c r="R324" s="90"/>
      <c r="S324" s="90"/>
      <c r="T324" s="90"/>
      <c r="U324" s="90"/>
      <c r="V324" s="91"/>
      <c r="W324" s="90"/>
      <c r="X324" s="90"/>
      <c r="Y324" s="90"/>
      <c r="Z324" s="90"/>
      <c r="AA324" s="90"/>
      <c r="AB324" s="90"/>
      <c r="AC324" s="90"/>
      <c r="AD324" s="90"/>
      <c r="AE324" s="115" t="s">
        <v>261</v>
      </c>
      <c r="AF324" s="91"/>
      <c r="AG324" s="1156">
        <v>0</v>
      </c>
      <c r="AH324" s="1156"/>
      <c r="AI324" s="1156"/>
      <c r="AJ324" s="1156"/>
      <c r="AK324" s="1156"/>
      <c r="AL324" s="223" t="s">
        <v>854</v>
      </c>
      <c r="AM324" s="83"/>
    </row>
    <row r="325" spans="2:39" ht="14.1" customHeight="1">
      <c r="B325" s="1164"/>
      <c r="C325" s="104">
        <v>13</v>
      </c>
      <c r="D325" s="138" t="s">
        <v>262</v>
      </c>
      <c r="E325" s="90"/>
      <c r="F325" s="90"/>
      <c r="G325" s="90"/>
      <c r="H325" s="90"/>
      <c r="I325" s="90"/>
      <c r="J325" s="90"/>
      <c r="K325" s="90"/>
      <c r="L325" s="90"/>
      <c r="M325" s="90"/>
      <c r="N325" s="90"/>
      <c r="O325" s="90"/>
      <c r="P325" s="90"/>
      <c r="Q325" s="90"/>
      <c r="R325" s="90"/>
      <c r="S325" s="90"/>
      <c r="T325" s="90"/>
      <c r="U325" s="90"/>
      <c r="V325" s="91"/>
      <c r="W325" s="90"/>
      <c r="X325" s="90"/>
      <c r="Y325" s="90"/>
      <c r="Z325" s="90"/>
      <c r="AA325" s="90"/>
      <c r="AB325" s="90"/>
      <c r="AC325" s="90"/>
      <c r="AD325" s="90"/>
      <c r="AE325" s="115">
        <v>13</v>
      </c>
      <c r="AF325" s="91"/>
      <c r="AG325" s="1156"/>
      <c r="AH325" s="1156"/>
      <c r="AI325" s="1156"/>
      <c r="AJ325" s="1156"/>
      <c r="AK325" s="1156"/>
      <c r="AL325" s="223" t="s">
        <v>854</v>
      </c>
      <c r="AM325" s="83"/>
    </row>
    <row r="326" spans="2:39" ht="14.1" customHeight="1">
      <c r="B326" s="1164"/>
      <c r="C326" s="104">
        <v>14</v>
      </c>
      <c r="D326" s="138" t="s">
        <v>263</v>
      </c>
      <c r="E326" s="90"/>
      <c r="F326" s="90"/>
      <c r="G326" s="90"/>
      <c r="H326" s="90"/>
      <c r="I326" s="90"/>
      <c r="J326" s="90"/>
      <c r="K326" s="90"/>
      <c r="L326" s="90"/>
      <c r="M326" s="90"/>
      <c r="N326" s="90"/>
      <c r="O326" s="90"/>
      <c r="P326" s="90"/>
      <c r="Q326" s="90"/>
      <c r="R326" s="90"/>
      <c r="S326" s="90"/>
      <c r="T326" s="90"/>
      <c r="U326" s="90"/>
      <c r="V326" s="91"/>
      <c r="W326" s="90"/>
      <c r="X326" s="90"/>
      <c r="Y326" s="90"/>
      <c r="Z326" s="90"/>
      <c r="AA326" s="90"/>
      <c r="AB326" s="90"/>
      <c r="AC326" s="90"/>
      <c r="AD326" s="90"/>
      <c r="AE326" s="115">
        <v>14</v>
      </c>
      <c r="AF326" s="91"/>
      <c r="AG326" s="1156"/>
      <c r="AH326" s="1156"/>
      <c r="AI326" s="1156"/>
      <c r="AJ326" s="1156"/>
      <c r="AK326" s="1156"/>
      <c r="AL326" s="223" t="s">
        <v>854</v>
      </c>
      <c r="AM326" s="83"/>
    </row>
    <row r="327" spans="2:39" ht="24.75" customHeight="1">
      <c r="B327" s="1167"/>
      <c r="C327" s="97">
        <v>15</v>
      </c>
      <c r="D327" s="1320" t="s">
        <v>264</v>
      </c>
      <c r="E327" s="1321"/>
      <c r="F327" s="1321"/>
      <c r="G327" s="1321"/>
      <c r="H327" s="1321"/>
      <c r="I327" s="1321"/>
      <c r="J327" s="1321"/>
      <c r="K327" s="1321"/>
      <c r="L327" s="1321"/>
      <c r="M327" s="1321"/>
      <c r="N327" s="1321"/>
      <c r="O327" s="1321"/>
      <c r="P327" s="1321"/>
      <c r="Q327" s="1321"/>
      <c r="R327" s="1321"/>
      <c r="S327" s="1321"/>
      <c r="T327" s="1321"/>
      <c r="U327" s="1321"/>
      <c r="V327" s="1321"/>
      <c r="W327" s="1321"/>
      <c r="X327" s="1321"/>
      <c r="Y327" s="1321"/>
      <c r="Z327" s="1321"/>
      <c r="AA327" s="1321"/>
      <c r="AB327" s="1321"/>
      <c r="AC327" s="90"/>
      <c r="AD327" s="90"/>
      <c r="AE327" s="100">
        <v>15</v>
      </c>
      <c r="AF327" s="91"/>
      <c r="AG327" s="1156"/>
      <c r="AH327" s="1156"/>
      <c r="AI327" s="1156"/>
      <c r="AJ327" s="1156"/>
      <c r="AK327" s="1156"/>
      <c r="AL327" s="261" t="s">
        <v>854</v>
      </c>
      <c r="AM327" s="83"/>
    </row>
    <row r="328" spans="2:39" ht="15" customHeight="1">
      <c r="V328" s="79"/>
      <c r="AE328" s="125" t="s">
        <v>492</v>
      </c>
      <c r="AF328" s="1168" t="s">
        <v>907</v>
      </c>
      <c r="AG328" s="1168"/>
      <c r="AH328" s="1168"/>
      <c r="AI328" s="1168"/>
      <c r="AJ328" s="132" t="s">
        <v>201</v>
      </c>
      <c r="AK328" s="131"/>
      <c r="AL328" s="133">
        <v>9.06</v>
      </c>
    </row>
    <row r="329" spans="2:39">
      <c r="V329" s="79"/>
      <c r="AE329" s="79"/>
    </row>
    <row r="330" spans="2:39" ht="15.75" customHeight="1">
      <c r="B330" s="181" t="s">
        <v>424</v>
      </c>
      <c r="C330" s="181"/>
      <c r="D330" s="181"/>
      <c r="E330" s="181"/>
      <c r="F330" s="181"/>
      <c r="G330" s="186" t="s">
        <v>876</v>
      </c>
    </row>
    <row r="331" spans="2:39" ht="14.1" customHeight="1">
      <c r="B331" s="1287" t="s">
        <v>427</v>
      </c>
      <c r="C331" s="174" t="s">
        <v>770</v>
      </c>
      <c r="D331" s="160" t="s">
        <v>425</v>
      </c>
      <c r="E331" s="146"/>
      <c r="F331" s="147"/>
      <c r="G331" s="90"/>
      <c r="H331" s="90"/>
      <c r="I331" s="90"/>
      <c r="J331" s="90"/>
      <c r="K331" s="90"/>
      <c r="L331" s="90"/>
      <c r="M331" s="90"/>
      <c r="N331" s="90"/>
      <c r="O331" s="90"/>
      <c r="P331" s="90"/>
      <c r="Q331" s="90"/>
      <c r="R331" s="90"/>
      <c r="S331" s="90"/>
      <c r="T331" s="90"/>
      <c r="U331" s="90"/>
      <c r="V331" s="91"/>
      <c r="W331" s="90"/>
      <c r="X331" s="90"/>
      <c r="Y331" s="90"/>
      <c r="Z331" s="90"/>
      <c r="AA331" s="90"/>
      <c r="AB331" s="90"/>
      <c r="AC331" s="90"/>
      <c r="AD331" s="89"/>
      <c r="AE331" s="1308"/>
      <c r="AF331" s="1309"/>
      <c r="AG331" s="1309"/>
      <c r="AH331" s="1309"/>
      <c r="AI331" s="1309"/>
      <c r="AJ331" s="1309"/>
      <c r="AK331" s="1309"/>
      <c r="AL331" s="1314"/>
      <c r="AM331" s="83"/>
    </row>
    <row r="332" spans="2:39" ht="14.1" customHeight="1">
      <c r="B332" s="1287"/>
      <c r="C332" s="1217"/>
      <c r="D332" s="145">
        <v>1</v>
      </c>
      <c r="E332" s="270" t="s">
        <v>265</v>
      </c>
      <c r="F332" s="221"/>
      <c r="V332" s="79"/>
      <c r="AE332" s="145">
        <v>1</v>
      </c>
      <c r="AF332" s="120"/>
      <c r="AG332" s="1156"/>
      <c r="AH332" s="1156"/>
      <c r="AI332" s="1156"/>
      <c r="AJ332" s="1156"/>
      <c r="AK332" s="1156"/>
      <c r="AL332" s="223" t="s">
        <v>854</v>
      </c>
      <c r="AM332" s="83"/>
    </row>
    <row r="333" spans="2:39" ht="14.1" customHeight="1">
      <c r="B333" s="1287"/>
      <c r="C333" s="1218"/>
      <c r="D333" s="148">
        <v>2</v>
      </c>
      <c r="E333" s="271" t="s">
        <v>266</v>
      </c>
      <c r="F333" s="151"/>
      <c r="G333" s="90"/>
      <c r="H333" s="90"/>
      <c r="I333" s="90"/>
      <c r="J333" s="90"/>
      <c r="K333" s="90"/>
      <c r="L333" s="90"/>
      <c r="M333" s="90"/>
      <c r="N333" s="90"/>
      <c r="O333" s="90"/>
      <c r="P333" s="90"/>
      <c r="Q333" s="90"/>
      <c r="R333" s="90"/>
      <c r="S333" s="90"/>
      <c r="T333" s="90"/>
      <c r="U333" s="90"/>
      <c r="V333" s="91"/>
      <c r="W333" s="90"/>
      <c r="X333" s="90"/>
      <c r="Y333" s="90"/>
      <c r="Z333" s="90"/>
      <c r="AA333" s="90"/>
      <c r="AB333" s="90"/>
      <c r="AC333" s="90"/>
      <c r="AD333" s="89"/>
      <c r="AE333" s="148">
        <v>2</v>
      </c>
      <c r="AF333" s="120"/>
      <c r="AG333" s="1156"/>
      <c r="AH333" s="1156"/>
      <c r="AI333" s="1156"/>
      <c r="AJ333" s="1156"/>
      <c r="AK333" s="1156"/>
      <c r="AL333" s="223" t="s">
        <v>854</v>
      </c>
      <c r="AM333" s="83"/>
    </row>
    <row r="334" spans="2:39" ht="14.1" customHeight="1">
      <c r="B334" s="1287"/>
      <c r="C334" s="1218"/>
      <c r="D334" s="148">
        <v>3</v>
      </c>
      <c r="E334" s="270" t="s">
        <v>267</v>
      </c>
      <c r="F334" s="221"/>
      <c r="V334" s="79"/>
      <c r="AE334" s="148">
        <v>3</v>
      </c>
      <c r="AF334" s="120"/>
      <c r="AG334" s="1156"/>
      <c r="AH334" s="1156"/>
      <c r="AI334" s="1156"/>
      <c r="AJ334" s="1156"/>
      <c r="AK334" s="1156"/>
      <c r="AL334" s="223" t="s">
        <v>854</v>
      </c>
      <c r="AM334" s="83"/>
    </row>
    <row r="335" spans="2:39" ht="14.1" customHeight="1">
      <c r="B335" s="1287"/>
      <c r="C335" s="1218"/>
      <c r="D335" s="148">
        <v>4</v>
      </c>
      <c r="E335" s="271" t="s">
        <v>268</v>
      </c>
      <c r="F335" s="151"/>
      <c r="G335" s="90"/>
      <c r="H335" s="90"/>
      <c r="I335" s="90"/>
      <c r="J335" s="90"/>
      <c r="K335" s="90"/>
      <c r="L335" s="90"/>
      <c r="M335" s="90"/>
      <c r="N335" s="90"/>
      <c r="O335" s="90"/>
      <c r="P335" s="90"/>
      <c r="Q335" s="90"/>
      <c r="R335" s="90"/>
      <c r="S335" s="90"/>
      <c r="T335" s="90"/>
      <c r="U335" s="90"/>
      <c r="V335" s="91"/>
      <c r="W335" s="90"/>
      <c r="X335" s="90"/>
      <c r="Y335" s="90"/>
      <c r="Z335" s="90"/>
      <c r="AA335" s="90"/>
      <c r="AB335" s="90"/>
      <c r="AC335" s="90"/>
      <c r="AD335" s="89"/>
      <c r="AE335" s="148">
        <v>4</v>
      </c>
      <c r="AF335" s="120"/>
      <c r="AG335" s="1156"/>
      <c r="AH335" s="1156"/>
      <c r="AI335" s="1156"/>
      <c r="AJ335" s="1156"/>
      <c r="AK335" s="1156"/>
      <c r="AL335" s="223" t="s">
        <v>854</v>
      </c>
      <c r="AM335" s="83"/>
    </row>
    <row r="336" spans="2:39" ht="14.1" customHeight="1">
      <c r="B336" s="1287"/>
      <c r="C336" s="1219"/>
      <c r="D336" s="148">
        <v>5</v>
      </c>
      <c r="E336" s="138" t="s">
        <v>269</v>
      </c>
      <c r="F336" s="151"/>
      <c r="G336" s="90"/>
      <c r="H336" s="90"/>
      <c r="I336" s="90"/>
      <c r="J336" s="90"/>
      <c r="K336" s="90"/>
      <c r="L336" s="90"/>
      <c r="M336" s="90"/>
      <c r="N336" s="90"/>
      <c r="O336" s="90"/>
      <c r="P336" s="90"/>
      <c r="Q336" s="90"/>
      <c r="R336" s="90"/>
      <c r="S336" s="90"/>
      <c r="T336" s="90"/>
      <c r="U336" s="90"/>
      <c r="V336" s="91"/>
      <c r="W336" s="90"/>
      <c r="X336" s="90"/>
      <c r="Y336" s="90"/>
      <c r="Z336" s="90"/>
      <c r="AA336" s="90"/>
      <c r="AB336" s="90"/>
      <c r="AC336" s="90"/>
      <c r="AD336" s="90"/>
      <c r="AE336" s="148">
        <v>5</v>
      </c>
      <c r="AF336" s="120"/>
      <c r="AG336" s="1156"/>
      <c r="AH336" s="1156"/>
      <c r="AI336" s="1156"/>
      <c r="AJ336" s="1156"/>
      <c r="AK336" s="1156"/>
      <c r="AL336" s="223" t="s">
        <v>854</v>
      </c>
      <c r="AM336" s="83"/>
    </row>
    <row r="337" spans="2:39" ht="14.1" customHeight="1">
      <c r="B337" s="1287"/>
      <c r="C337" s="148" t="s">
        <v>771</v>
      </c>
      <c r="D337" s="138" t="s">
        <v>426</v>
      </c>
      <c r="E337" s="150"/>
      <c r="F337" s="151"/>
      <c r="G337" s="90"/>
      <c r="H337" s="90"/>
      <c r="I337" s="90"/>
      <c r="J337" s="90"/>
      <c r="K337" s="90"/>
      <c r="L337" s="90"/>
      <c r="M337" s="90"/>
      <c r="N337" s="90"/>
      <c r="O337" s="90"/>
      <c r="P337" s="90"/>
      <c r="Q337" s="90"/>
      <c r="R337" s="90"/>
      <c r="S337" s="90"/>
      <c r="T337" s="90"/>
      <c r="U337" s="90"/>
      <c r="V337" s="91"/>
      <c r="W337" s="90"/>
      <c r="X337" s="90"/>
      <c r="Y337" s="90"/>
      <c r="Z337" s="90"/>
      <c r="AA337" s="90"/>
      <c r="AB337" s="90"/>
      <c r="AC337" s="90"/>
      <c r="AD337" s="89"/>
      <c r="AE337" s="1251"/>
      <c r="AF337" s="1250"/>
      <c r="AG337" s="1250"/>
      <c r="AH337" s="1250"/>
      <c r="AI337" s="1250"/>
      <c r="AJ337" s="1250"/>
      <c r="AK337" s="1250"/>
      <c r="AL337" s="1226"/>
      <c r="AM337" s="83"/>
    </row>
    <row r="338" spans="2:39" ht="14.1" customHeight="1">
      <c r="B338" s="1287"/>
      <c r="C338" s="1217"/>
      <c r="D338" s="145">
        <v>6</v>
      </c>
      <c r="E338" s="156" t="s">
        <v>961</v>
      </c>
      <c r="F338" s="213"/>
      <c r="G338" s="80"/>
      <c r="H338" s="80"/>
      <c r="I338" s="80"/>
      <c r="J338" s="80"/>
      <c r="K338" s="80"/>
      <c r="L338" s="80"/>
      <c r="M338" s="80"/>
      <c r="N338" s="80"/>
      <c r="O338" s="80"/>
      <c r="P338" s="80"/>
      <c r="Q338" s="80"/>
      <c r="R338" s="80"/>
      <c r="S338" s="80"/>
      <c r="T338" s="80"/>
      <c r="U338" s="80"/>
      <c r="V338" s="86"/>
      <c r="W338" s="80"/>
      <c r="X338" s="80"/>
      <c r="Y338" s="80"/>
      <c r="Z338" s="80"/>
      <c r="AA338" s="80"/>
      <c r="AB338" s="80"/>
      <c r="AC338" s="80"/>
      <c r="AD338" s="87"/>
      <c r="AE338" s="1253"/>
      <c r="AF338" s="1254"/>
      <c r="AG338" s="1254"/>
      <c r="AH338" s="1254"/>
      <c r="AI338" s="1254"/>
      <c r="AJ338" s="1254"/>
      <c r="AK338" s="1254"/>
      <c r="AL338" s="1228"/>
      <c r="AM338" s="83"/>
    </row>
    <row r="339" spans="2:39" ht="14.1" customHeight="1">
      <c r="B339" s="1287"/>
      <c r="C339" s="1218"/>
      <c r="D339" s="1217"/>
      <c r="E339" s="145" t="s">
        <v>613</v>
      </c>
      <c r="F339" s="152" t="s">
        <v>265</v>
      </c>
      <c r="V339" s="79"/>
      <c r="AE339" s="145" t="s">
        <v>32</v>
      </c>
      <c r="AF339" s="120"/>
      <c r="AG339" s="1156"/>
      <c r="AH339" s="1156"/>
      <c r="AI339" s="1156"/>
      <c r="AJ339" s="1156"/>
      <c r="AK339" s="1156"/>
      <c r="AL339" s="223" t="s">
        <v>854</v>
      </c>
      <c r="AM339" s="83"/>
    </row>
    <row r="340" spans="2:39" ht="14.1" customHeight="1">
      <c r="B340" s="1287"/>
      <c r="C340" s="1218"/>
      <c r="D340" s="1218"/>
      <c r="E340" s="148" t="s">
        <v>615</v>
      </c>
      <c r="F340" s="140" t="s">
        <v>270</v>
      </c>
      <c r="G340" s="90"/>
      <c r="H340" s="90"/>
      <c r="I340" s="90"/>
      <c r="J340" s="90"/>
      <c r="K340" s="90"/>
      <c r="L340" s="90"/>
      <c r="M340" s="90"/>
      <c r="N340" s="90"/>
      <c r="O340" s="90"/>
      <c r="P340" s="90"/>
      <c r="Q340" s="90"/>
      <c r="R340" s="90"/>
      <c r="S340" s="90"/>
      <c r="T340" s="90"/>
      <c r="U340" s="90"/>
      <c r="V340" s="91"/>
      <c r="W340" s="90"/>
      <c r="X340" s="90"/>
      <c r="Y340" s="90"/>
      <c r="Z340" s="90"/>
      <c r="AA340" s="90"/>
      <c r="AB340" s="90"/>
      <c r="AC340" s="90"/>
      <c r="AD340" s="89"/>
      <c r="AE340" s="148" t="s">
        <v>34</v>
      </c>
      <c r="AF340" s="120"/>
      <c r="AG340" s="1156"/>
      <c r="AH340" s="1156"/>
      <c r="AI340" s="1156"/>
      <c r="AJ340" s="1156"/>
      <c r="AK340" s="1156"/>
      <c r="AL340" s="223" t="s">
        <v>854</v>
      </c>
      <c r="AM340" s="83"/>
    </row>
    <row r="341" spans="2:39" ht="14.1" customHeight="1">
      <c r="B341" s="1287"/>
      <c r="C341" s="1218"/>
      <c r="D341" s="1218"/>
      <c r="E341" s="148" t="s">
        <v>617</v>
      </c>
      <c r="F341" s="152" t="s">
        <v>271</v>
      </c>
      <c r="V341" s="79"/>
      <c r="AE341" s="148" t="s">
        <v>36</v>
      </c>
      <c r="AF341" s="120"/>
      <c r="AG341" s="1156"/>
      <c r="AH341" s="1156"/>
      <c r="AI341" s="1156"/>
      <c r="AJ341" s="1156"/>
      <c r="AK341" s="1156"/>
      <c r="AL341" s="223" t="s">
        <v>854</v>
      </c>
      <c r="AM341" s="83"/>
    </row>
    <row r="342" spans="2:39" ht="14.1" customHeight="1">
      <c r="B342" s="1287"/>
      <c r="C342" s="1218"/>
      <c r="D342" s="1218"/>
      <c r="E342" s="148" t="s">
        <v>619</v>
      </c>
      <c r="F342" s="140" t="s">
        <v>267</v>
      </c>
      <c r="G342" s="90"/>
      <c r="H342" s="90"/>
      <c r="I342" s="90"/>
      <c r="J342" s="90"/>
      <c r="K342" s="90"/>
      <c r="L342" s="90"/>
      <c r="M342" s="90"/>
      <c r="N342" s="90"/>
      <c r="O342" s="90"/>
      <c r="P342" s="90"/>
      <c r="Q342" s="90"/>
      <c r="R342" s="90"/>
      <c r="S342" s="90"/>
      <c r="T342" s="90"/>
      <c r="U342" s="90"/>
      <c r="V342" s="91"/>
      <c r="W342" s="90"/>
      <c r="X342" s="90"/>
      <c r="Y342" s="90"/>
      <c r="Z342" s="90"/>
      <c r="AA342" s="90"/>
      <c r="AB342" s="90"/>
      <c r="AC342" s="90"/>
      <c r="AD342" s="89"/>
      <c r="AE342" s="148" t="s">
        <v>37</v>
      </c>
      <c r="AF342" s="120"/>
      <c r="AG342" s="1156"/>
      <c r="AH342" s="1156"/>
      <c r="AI342" s="1156"/>
      <c r="AJ342" s="1156"/>
      <c r="AK342" s="1156"/>
      <c r="AL342" s="223" t="s">
        <v>854</v>
      </c>
      <c r="AM342" s="83"/>
    </row>
    <row r="343" spans="2:39" ht="14.1" customHeight="1">
      <c r="B343" s="1287"/>
      <c r="C343" s="1218"/>
      <c r="D343" s="1218"/>
      <c r="E343" s="148" t="s">
        <v>726</v>
      </c>
      <c r="F343" s="152" t="s">
        <v>268</v>
      </c>
      <c r="V343" s="79"/>
      <c r="AE343" s="148" t="s">
        <v>214</v>
      </c>
      <c r="AF343" s="120"/>
      <c r="AG343" s="1156"/>
      <c r="AH343" s="1156"/>
      <c r="AI343" s="1156"/>
      <c r="AJ343" s="1156"/>
      <c r="AK343" s="1156"/>
      <c r="AL343" s="223" t="s">
        <v>854</v>
      </c>
      <c r="AM343" s="83"/>
    </row>
    <row r="344" spans="2:39" ht="14.1" customHeight="1">
      <c r="B344" s="1287"/>
      <c r="C344" s="1218"/>
      <c r="D344" s="1218"/>
      <c r="E344" s="148" t="s">
        <v>750</v>
      </c>
      <c r="F344" s="140" t="s">
        <v>272</v>
      </c>
      <c r="G344" s="90"/>
      <c r="H344" s="90"/>
      <c r="I344" s="90"/>
      <c r="J344" s="90"/>
      <c r="K344" s="90"/>
      <c r="L344" s="90"/>
      <c r="M344" s="90"/>
      <c r="N344" s="90"/>
      <c r="O344" s="90"/>
      <c r="P344" s="90"/>
      <c r="Q344" s="90"/>
      <c r="R344" s="90"/>
      <c r="S344" s="90"/>
      <c r="T344" s="90"/>
      <c r="U344" s="90"/>
      <c r="V344" s="91"/>
      <c r="W344" s="90"/>
      <c r="X344" s="90"/>
      <c r="Y344" s="90"/>
      <c r="Z344" s="90"/>
      <c r="AA344" s="90"/>
      <c r="AB344" s="90"/>
      <c r="AC344" s="90"/>
      <c r="AD344" s="89"/>
      <c r="AE344" s="148" t="s">
        <v>215</v>
      </c>
      <c r="AF344" s="120"/>
      <c r="AG344" s="1156"/>
      <c r="AH344" s="1156"/>
      <c r="AI344" s="1156"/>
      <c r="AJ344" s="1156"/>
      <c r="AK344" s="1156"/>
      <c r="AL344" s="223" t="s">
        <v>854</v>
      </c>
      <c r="AM344" s="83"/>
    </row>
    <row r="345" spans="2:39" ht="14.1" customHeight="1">
      <c r="B345" s="1287"/>
      <c r="C345" s="1218"/>
      <c r="D345" s="1218"/>
      <c r="E345" s="148" t="s">
        <v>752</v>
      </c>
      <c r="F345" s="152" t="s">
        <v>273</v>
      </c>
      <c r="V345" s="79"/>
      <c r="AE345" s="148" t="s">
        <v>274</v>
      </c>
      <c r="AF345" s="120"/>
      <c r="AG345" s="1156"/>
      <c r="AH345" s="1156"/>
      <c r="AI345" s="1156"/>
      <c r="AJ345" s="1156"/>
      <c r="AK345" s="1156"/>
      <c r="AL345" s="223" t="s">
        <v>854</v>
      </c>
      <c r="AM345" s="83"/>
    </row>
    <row r="346" spans="2:39" ht="14.1" customHeight="1">
      <c r="B346" s="1287"/>
      <c r="C346" s="1218"/>
      <c r="D346" s="1219"/>
      <c r="E346" s="148" t="s">
        <v>754</v>
      </c>
      <c r="F346" s="140" t="s">
        <v>269</v>
      </c>
      <c r="G346" s="90"/>
      <c r="H346" s="90"/>
      <c r="I346" s="90"/>
      <c r="J346" s="90"/>
      <c r="K346" s="90"/>
      <c r="L346" s="90"/>
      <c r="M346" s="90"/>
      <c r="N346" s="90"/>
      <c r="O346" s="90"/>
      <c r="P346" s="90"/>
      <c r="Q346" s="90"/>
      <c r="R346" s="90"/>
      <c r="S346" s="90"/>
      <c r="T346" s="90"/>
      <c r="U346" s="90"/>
      <c r="V346" s="91"/>
      <c r="W346" s="90"/>
      <c r="X346" s="90"/>
      <c r="Y346" s="90"/>
      <c r="Z346" s="90"/>
      <c r="AA346" s="90"/>
      <c r="AB346" s="90"/>
      <c r="AC346" s="90"/>
      <c r="AD346" s="89"/>
      <c r="AE346" s="143" t="s">
        <v>216</v>
      </c>
      <c r="AF346" s="120"/>
      <c r="AG346" s="1156"/>
      <c r="AH346" s="1156"/>
      <c r="AI346" s="1156"/>
      <c r="AJ346" s="1156"/>
      <c r="AK346" s="1156"/>
      <c r="AL346" s="223" t="s">
        <v>854</v>
      </c>
      <c r="AM346" s="83"/>
    </row>
    <row r="347" spans="2:39" ht="14.1" customHeight="1">
      <c r="B347" s="1287"/>
      <c r="C347" s="1218"/>
      <c r="D347" s="148">
        <v>7</v>
      </c>
      <c r="E347" s="138" t="s">
        <v>275</v>
      </c>
      <c r="F347" s="221"/>
      <c r="V347" s="79"/>
      <c r="AE347" s="1308"/>
      <c r="AF347" s="1309"/>
      <c r="AG347" s="1309"/>
      <c r="AH347" s="1309"/>
      <c r="AI347" s="1309"/>
      <c r="AJ347" s="1309"/>
      <c r="AK347" s="1309"/>
      <c r="AL347" s="1314"/>
      <c r="AM347" s="83"/>
    </row>
    <row r="348" spans="2:39" ht="14.1" customHeight="1">
      <c r="B348" s="1287"/>
      <c r="C348" s="1218"/>
      <c r="D348" s="1217"/>
      <c r="E348" s="148" t="s">
        <v>613</v>
      </c>
      <c r="F348" s="140" t="s">
        <v>276</v>
      </c>
      <c r="G348" s="90"/>
      <c r="H348" s="90"/>
      <c r="I348" s="90"/>
      <c r="J348" s="90"/>
      <c r="K348" s="90"/>
      <c r="L348" s="90"/>
      <c r="M348" s="90"/>
      <c r="N348" s="90"/>
      <c r="O348" s="90"/>
      <c r="P348" s="90"/>
      <c r="Q348" s="90"/>
      <c r="R348" s="90"/>
      <c r="S348" s="90"/>
      <c r="T348" s="90"/>
      <c r="U348" s="90"/>
      <c r="V348" s="91"/>
      <c r="W348" s="90"/>
      <c r="X348" s="90"/>
      <c r="Y348" s="90"/>
      <c r="Z348" s="90"/>
      <c r="AA348" s="90"/>
      <c r="AB348" s="90"/>
      <c r="AC348" s="90"/>
      <c r="AD348" s="89"/>
      <c r="AE348" s="145" t="s">
        <v>614</v>
      </c>
      <c r="AF348" s="120"/>
      <c r="AG348" s="1156"/>
      <c r="AH348" s="1156"/>
      <c r="AI348" s="1156"/>
      <c r="AJ348" s="1156"/>
      <c r="AK348" s="1156"/>
      <c r="AL348" s="223" t="s">
        <v>854</v>
      </c>
      <c r="AM348" s="83"/>
    </row>
    <row r="349" spans="2:39" ht="14.1" customHeight="1">
      <c r="B349" s="1287"/>
      <c r="C349" s="1218"/>
      <c r="D349" s="1218"/>
      <c r="E349" s="148" t="s">
        <v>615</v>
      </c>
      <c r="F349" s="152" t="s">
        <v>277</v>
      </c>
      <c r="V349" s="79"/>
      <c r="AE349" s="148" t="s">
        <v>616</v>
      </c>
      <c r="AF349" s="120"/>
      <c r="AG349" s="1156"/>
      <c r="AH349" s="1156"/>
      <c r="AI349" s="1156"/>
      <c r="AJ349" s="1156"/>
      <c r="AK349" s="1156"/>
      <c r="AL349" s="223" t="s">
        <v>854</v>
      </c>
      <c r="AM349" s="83"/>
    </row>
    <row r="350" spans="2:39" ht="14.1" customHeight="1">
      <c r="B350" s="1287"/>
      <c r="C350" s="1218"/>
      <c r="D350" s="1218"/>
      <c r="E350" s="148" t="s">
        <v>617</v>
      </c>
      <c r="F350" s="140" t="s">
        <v>278</v>
      </c>
      <c r="G350" s="90"/>
      <c r="H350" s="90"/>
      <c r="I350" s="90"/>
      <c r="J350" s="90"/>
      <c r="K350" s="90"/>
      <c r="L350" s="90"/>
      <c r="M350" s="90"/>
      <c r="N350" s="90"/>
      <c r="O350" s="90"/>
      <c r="P350" s="90"/>
      <c r="Q350" s="90"/>
      <c r="R350" s="90"/>
      <c r="S350" s="90"/>
      <c r="T350" s="90"/>
      <c r="U350" s="90"/>
      <c r="V350" s="91"/>
      <c r="W350" s="90"/>
      <c r="X350" s="90"/>
      <c r="Y350" s="90"/>
      <c r="Z350" s="90"/>
      <c r="AA350" s="90"/>
      <c r="AB350" s="90"/>
      <c r="AC350" s="90"/>
      <c r="AD350" s="89"/>
      <c r="AE350" s="148" t="s">
        <v>618</v>
      </c>
      <c r="AF350" s="120"/>
      <c r="AG350" s="1156"/>
      <c r="AH350" s="1156"/>
      <c r="AI350" s="1156"/>
      <c r="AJ350" s="1156"/>
      <c r="AK350" s="1156"/>
      <c r="AL350" s="223" t="s">
        <v>854</v>
      </c>
      <c r="AM350" s="83"/>
    </row>
    <row r="351" spans="2:39" ht="14.1" customHeight="1">
      <c r="B351" s="1287"/>
      <c r="C351" s="1218"/>
      <c r="D351" s="1218"/>
      <c r="E351" s="148" t="s">
        <v>619</v>
      </c>
      <c r="F351" s="152" t="s">
        <v>279</v>
      </c>
      <c r="V351" s="79"/>
      <c r="AE351" s="148" t="s">
        <v>725</v>
      </c>
      <c r="AF351" s="120"/>
      <c r="AG351" s="1156"/>
      <c r="AH351" s="1156"/>
      <c r="AI351" s="1156"/>
      <c r="AJ351" s="1156"/>
      <c r="AK351" s="1156"/>
      <c r="AL351" s="223" t="s">
        <v>854</v>
      </c>
      <c r="AM351" s="83"/>
    </row>
    <row r="352" spans="2:39" ht="14.1" customHeight="1">
      <c r="B352" s="1287"/>
      <c r="C352" s="1218"/>
      <c r="D352" s="1218"/>
      <c r="E352" s="148" t="s">
        <v>726</v>
      </c>
      <c r="F352" s="140" t="s">
        <v>280</v>
      </c>
      <c r="G352" s="90"/>
      <c r="H352" s="90"/>
      <c r="I352" s="90"/>
      <c r="J352" s="90"/>
      <c r="K352" s="90"/>
      <c r="L352" s="90"/>
      <c r="M352" s="90"/>
      <c r="N352" s="90"/>
      <c r="O352" s="90"/>
      <c r="P352" s="90"/>
      <c r="Q352" s="90"/>
      <c r="R352" s="90"/>
      <c r="S352" s="90"/>
      <c r="T352" s="90"/>
      <c r="U352" s="90"/>
      <c r="V352" s="91"/>
      <c r="W352" s="90"/>
      <c r="X352" s="90"/>
      <c r="Y352" s="90"/>
      <c r="Z352" s="90"/>
      <c r="AA352" s="90"/>
      <c r="AB352" s="90"/>
      <c r="AC352" s="90"/>
      <c r="AD352" s="89"/>
      <c r="AE352" s="148" t="s">
        <v>727</v>
      </c>
      <c r="AF352" s="120"/>
      <c r="AG352" s="1156"/>
      <c r="AH352" s="1156"/>
      <c r="AI352" s="1156"/>
      <c r="AJ352" s="1156"/>
      <c r="AK352" s="1156"/>
      <c r="AL352" s="223" t="s">
        <v>854</v>
      </c>
      <c r="AM352" s="83"/>
    </row>
    <row r="353" spans="2:39" ht="14.1" customHeight="1">
      <c r="B353" s="1287"/>
      <c r="C353" s="1219"/>
      <c r="D353" s="1219"/>
      <c r="E353" s="148" t="s">
        <v>750</v>
      </c>
      <c r="F353" s="140" t="s">
        <v>281</v>
      </c>
      <c r="G353" s="90"/>
      <c r="H353" s="90"/>
      <c r="I353" s="90"/>
      <c r="J353" s="90"/>
      <c r="K353" s="90"/>
      <c r="L353" s="90"/>
      <c r="M353" s="90"/>
      <c r="N353" s="90"/>
      <c r="O353" s="90"/>
      <c r="P353" s="90"/>
      <c r="Q353" s="90"/>
      <c r="R353" s="90"/>
      <c r="S353" s="90"/>
      <c r="T353" s="90"/>
      <c r="U353" s="90"/>
      <c r="V353" s="91"/>
      <c r="W353" s="90"/>
      <c r="X353" s="90"/>
      <c r="Y353" s="90"/>
      <c r="Z353" s="90"/>
      <c r="AA353" s="90"/>
      <c r="AB353" s="90"/>
      <c r="AC353" s="90"/>
      <c r="AD353" s="89"/>
      <c r="AE353" s="148" t="s">
        <v>226</v>
      </c>
      <c r="AF353" s="120"/>
      <c r="AG353" s="1156"/>
      <c r="AH353" s="1156"/>
      <c r="AI353" s="1156"/>
      <c r="AJ353" s="1156"/>
      <c r="AK353" s="1156"/>
      <c r="AL353" s="223" t="s">
        <v>854</v>
      </c>
      <c r="AM353" s="83"/>
    </row>
    <row r="355" spans="2:39" ht="12.75">
      <c r="B355" s="1232" t="s">
        <v>856</v>
      </c>
      <c r="C355" s="1233"/>
      <c r="D355" s="1233"/>
      <c r="E355" s="1233"/>
      <c r="F355" s="1233"/>
      <c r="G355" s="1244" t="s">
        <v>855</v>
      </c>
      <c r="H355" s="1244"/>
      <c r="I355" s="1244"/>
      <c r="J355" s="1244"/>
      <c r="K355" s="1244"/>
      <c r="L355" s="1244"/>
      <c r="M355" s="1244"/>
      <c r="N355" s="1244"/>
      <c r="O355" s="1244"/>
      <c r="P355" s="1244"/>
      <c r="Q355" s="1244"/>
      <c r="R355" s="1244"/>
      <c r="S355" s="1244"/>
      <c r="T355" s="1244"/>
      <c r="U355" s="1244"/>
      <c r="V355" s="1244"/>
      <c r="W355" s="1244"/>
      <c r="X355" s="1244"/>
      <c r="Y355" s="1244"/>
      <c r="Z355" s="1244"/>
      <c r="AA355" s="1244"/>
      <c r="AB355" s="1244"/>
      <c r="AC355" s="1244"/>
      <c r="AD355" s="1244"/>
      <c r="AE355" s="1244"/>
      <c r="AF355" s="1244"/>
    </row>
    <row r="356" spans="2:39" ht="14.1" customHeight="1">
      <c r="B356" s="1279" t="s">
        <v>122</v>
      </c>
      <c r="C356" s="194" t="s">
        <v>791</v>
      </c>
      <c r="D356" s="160" t="s">
        <v>317</v>
      </c>
      <c r="E356" s="189"/>
      <c r="F356" s="189"/>
      <c r="G356" s="189"/>
      <c r="H356" s="189"/>
      <c r="I356" s="189"/>
      <c r="J356" s="189"/>
      <c r="K356" s="189"/>
      <c r="L356" s="189"/>
      <c r="M356" s="189"/>
      <c r="N356" s="189"/>
      <c r="O356" s="189"/>
      <c r="P356" s="189"/>
      <c r="Q356" s="189"/>
      <c r="R356" s="189"/>
      <c r="S356" s="189"/>
      <c r="T356" s="189"/>
      <c r="U356" s="189"/>
      <c r="V356" s="189"/>
      <c r="W356" s="189"/>
      <c r="X356" s="189"/>
      <c r="Y356" s="189"/>
      <c r="Z356" s="189"/>
      <c r="AA356" s="189"/>
      <c r="AB356" s="189"/>
      <c r="AC356" s="189"/>
      <c r="AD356" s="237"/>
      <c r="AE356" s="1315"/>
      <c r="AF356" s="1316"/>
      <c r="AG356" s="1316"/>
      <c r="AH356" s="1316"/>
      <c r="AI356" s="1316"/>
      <c r="AJ356" s="1316"/>
      <c r="AK356" s="1316"/>
      <c r="AL356" s="1317"/>
      <c r="AM356" s="83"/>
    </row>
    <row r="357" spans="2:39" ht="14.1" customHeight="1">
      <c r="B357" s="1279"/>
      <c r="C357" s="1184"/>
      <c r="D357" s="197">
        <v>1</v>
      </c>
      <c r="E357" s="271" t="s">
        <v>318</v>
      </c>
      <c r="F357" s="189"/>
      <c r="G357" s="189"/>
      <c r="H357" s="189"/>
      <c r="I357" s="189"/>
      <c r="J357" s="189"/>
      <c r="K357" s="189"/>
      <c r="L357" s="189"/>
      <c r="M357" s="189"/>
      <c r="N357" s="189"/>
      <c r="O357" s="189"/>
      <c r="P357" s="189"/>
      <c r="Q357" s="189"/>
      <c r="R357" s="189"/>
      <c r="S357" s="189"/>
      <c r="T357" s="189"/>
      <c r="U357" s="189"/>
      <c r="V357" s="189"/>
      <c r="W357" s="189"/>
      <c r="X357" s="189"/>
      <c r="Y357" s="189"/>
      <c r="Z357" s="189"/>
      <c r="AA357" s="189"/>
      <c r="AB357" s="189"/>
      <c r="AC357" s="189"/>
      <c r="AD357" s="189"/>
      <c r="AE357" s="112">
        <v>1</v>
      </c>
      <c r="AF357" s="189"/>
      <c r="AG357" s="1156">
        <v>0</v>
      </c>
      <c r="AH357" s="1156"/>
      <c r="AI357" s="1156"/>
      <c r="AJ357" s="1156"/>
      <c r="AK357" s="1156"/>
      <c r="AL357" s="223" t="s">
        <v>854</v>
      </c>
      <c r="AM357" s="83"/>
    </row>
    <row r="358" spans="2:39" ht="14.1" customHeight="1">
      <c r="B358" s="1279"/>
      <c r="C358" s="1185"/>
      <c r="D358" s="194">
        <v>2</v>
      </c>
      <c r="E358" s="202" t="s">
        <v>858</v>
      </c>
      <c r="F358" s="191"/>
      <c r="G358" s="191"/>
      <c r="H358" s="191"/>
      <c r="I358" s="191"/>
      <c r="J358" s="191"/>
      <c r="K358" s="191"/>
      <c r="L358" s="191"/>
      <c r="M358" s="191"/>
      <c r="N358" s="191"/>
      <c r="O358" s="191"/>
      <c r="P358" s="191"/>
      <c r="Q358" s="191"/>
      <c r="R358" s="191"/>
      <c r="S358" s="191"/>
      <c r="T358" s="191"/>
      <c r="U358" s="191"/>
      <c r="V358" s="111">
        <v>2</v>
      </c>
      <c r="W358" s="191"/>
      <c r="X358" s="1156"/>
      <c r="Y358" s="1156"/>
      <c r="Z358" s="1156"/>
      <c r="AA358" s="1156"/>
      <c r="AB358" s="1156"/>
      <c r="AC358" s="82"/>
      <c r="AD358" s="128" t="s">
        <v>854</v>
      </c>
      <c r="AE358" s="1187"/>
      <c r="AF358" s="1188"/>
      <c r="AG358" s="1188"/>
      <c r="AH358" s="1188"/>
      <c r="AI358" s="1188"/>
      <c r="AJ358" s="1188"/>
      <c r="AK358" s="1188"/>
      <c r="AL358" s="1189"/>
      <c r="AM358" s="83"/>
    </row>
    <row r="359" spans="2:39" ht="24" customHeight="1">
      <c r="B359" s="1279"/>
      <c r="C359" s="1185"/>
      <c r="D359" s="194">
        <v>3</v>
      </c>
      <c r="E359" s="1281" t="s">
        <v>319</v>
      </c>
      <c r="F359" s="1282"/>
      <c r="G359" s="1282"/>
      <c r="H359" s="1282"/>
      <c r="I359" s="1282"/>
      <c r="J359" s="1282"/>
      <c r="K359" s="1282"/>
      <c r="L359" s="1282"/>
      <c r="M359" s="1282"/>
      <c r="N359" s="1282"/>
      <c r="O359" s="1282"/>
      <c r="P359" s="1282"/>
      <c r="Q359" s="1282"/>
      <c r="R359" s="1282"/>
      <c r="S359" s="1282"/>
      <c r="T359" s="1282"/>
      <c r="U359" s="189"/>
      <c r="V359" s="194">
        <v>3</v>
      </c>
      <c r="W359" s="189"/>
      <c r="X359" s="1156"/>
      <c r="Y359" s="1156"/>
      <c r="Z359" s="1156"/>
      <c r="AA359" s="1156"/>
      <c r="AB359" s="1156"/>
      <c r="AC359" s="82"/>
      <c r="AD359" s="249" t="s">
        <v>854</v>
      </c>
      <c r="AE359" s="1190"/>
      <c r="AF359" s="1191"/>
      <c r="AG359" s="1191"/>
      <c r="AH359" s="1191"/>
      <c r="AI359" s="1191"/>
      <c r="AJ359" s="1191"/>
      <c r="AK359" s="1191"/>
      <c r="AL359" s="1192"/>
      <c r="AM359" s="83"/>
    </row>
    <row r="360" spans="2:39" ht="37.5" customHeight="1">
      <c r="B360" s="1279"/>
      <c r="C360" s="1185"/>
      <c r="D360" s="194">
        <v>4</v>
      </c>
      <c r="E360" s="1318" t="s">
        <v>321</v>
      </c>
      <c r="F360" s="1319"/>
      <c r="G360" s="1319"/>
      <c r="H360" s="1319"/>
      <c r="I360" s="1319"/>
      <c r="J360" s="1319"/>
      <c r="K360" s="1319"/>
      <c r="L360" s="1319"/>
      <c r="M360" s="1319"/>
      <c r="N360" s="1319"/>
      <c r="O360" s="1319"/>
      <c r="P360" s="1319"/>
      <c r="Q360" s="1319"/>
      <c r="R360" s="1319"/>
      <c r="S360" s="1319"/>
      <c r="T360" s="1319"/>
      <c r="U360" s="189"/>
      <c r="V360" s="194">
        <v>4</v>
      </c>
      <c r="W360" s="189"/>
      <c r="X360" s="1156"/>
      <c r="Y360" s="1156"/>
      <c r="Z360" s="1156"/>
      <c r="AA360" s="1156"/>
      <c r="AB360" s="1156"/>
      <c r="AC360" s="90"/>
      <c r="AD360" s="249" t="s">
        <v>854</v>
      </c>
      <c r="AE360" s="1190"/>
      <c r="AF360" s="1191"/>
      <c r="AG360" s="1191"/>
      <c r="AH360" s="1191"/>
      <c r="AI360" s="1191"/>
      <c r="AJ360" s="1191"/>
      <c r="AK360" s="1191"/>
      <c r="AL360" s="1192"/>
      <c r="AM360" s="83"/>
    </row>
    <row r="361" spans="2:39" ht="14.1" customHeight="1">
      <c r="B361" s="1280"/>
      <c r="C361" s="1186"/>
      <c r="D361" s="194">
        <v>5</v>
      </c>
      <c r="E361" s="156" t="s">
        <v>859</v>
      </c>
      <c r="F361" s="193"/>
      <c r="G361" s="193"/>
      <c r="H361" s="193"/>
      <c r="I361" s="193"/>
      <c r="J361" s="193"/>
      <c r="K361" s="193"/>
      <c r="L361" s="193"/>
      <c r="M361" s="193"/>
      <c r="N361" s="193"/>
      <c r="O361" s="193"/>
      <c r="P361" s="193"/>
      <c r="Q361" s="193"/>
      <c r="R361" s="193"/>
      <c r="S361" s="193"/>
      <c r="T361" s="193"/>
      <c r="U361" s="193"/>
      <c r="V361" s="193"/>
      <c r="W361" s="193"/>
      <c r="X361" s="193"/>
      <c r="Y361" s="193"/>
      <c r="Z361" s="193"/>
      <c r="AA361" s="193"/>
      <c r="AB361" s="193"/>
      <c r="AC361" s="193"/>
      <c r="AD361" s="193"/>
      <c r="AE361" s="1193"/>
      <c r="AF361" s="1194"/>
      <c r="AG361" s="1194"/>
      <c r="AH361" s="1194"/>
      <c r="AI361" s="1194"/>
      <c r="AJ361" s="1194"/>
      <c r="AK361" s="1194"/>
      <c r="AL361" s="1195"/>
      <c r="AM361" s="83"/>
    </row>
    <row r="362" spans="2:39" ht="14.1" customHeight="1">
      <c r="B362" s="195"/>
      <c r="C362" s="124"/>
      <c r="D362" s="190"/>
      <c r="E362" s="136"/>
      <c r="F362" s="191"/>
      <c r="G362" s="191"/>
      <c r="H362" s="191"/>
      <c r="I362" s="191"/>
      <c r="J362" s="191"/>
      <c r="K362" s="191"/>
      <c r="L362" s="191"/>
      <c r="M362" s="191"/>
      <c r="N362" s="191"/>
      <c r="O362" s="191"/>
      <c r="P362" s="191"/>
      <c r="Q362" s="191"/>
      <c r="R362" s="191"/>
      <c r="S362" s="191"/>
      <c r="T362" s="191"/>
      <c r="U362" s="191"/>
      <c r="V362" s="191"/>
      <c r="W362" s="191"/>
      <c r="X362" s="191"/>
      <c r="Y362" s="191"/>
      <c r="Z362" s="191"/>
      <c r="AA362" s="191"/>
      <c r="AB362" s="191"/>
      <c r="AC362" s="191"/>
      <c r="AD362" s="191"/>
      <c r="AE362" s="125" t="s">
        <v>492</v>
      </c>
      <c r="AF362" s="1168" t="s">
        <v>907</v>
      </c>
      <c r="AG362" s="1168"/>
      <c r="AH362" s="1168"/>
      <c r="AI362" s="1168"/>
      <c r="AJ362" s="132" t="s">
        <v>857</v>
      </c>
      <c r="AK362" s="131"/>
      <c r="AL362" s="133">
        <v>9.06</v>
      </c>
    </row>
    <row r="363" spans="2:39" ht="12.75">
      <c r="B363" s="1181" t="s">
        <v>119</v>
      </c>
      <c r="C363" s="1184"/>
      <c r="D363" s="1245"/>
      <c r="E363" s="238" t="s">
        <v>613</v>
      </c>
      <c r="F363" s="163" t="s">
        <v>860</v>
      </c>
      <c r="G363" s="253"/>
      <c r="H363" s="253"/>
      <c r="I363" s="253"/>
      <c r="J363" s="253"/>
      <c r="K363" s="253"/>
      <c r="L363" s="253"/>
      <c r="M363" s="253"/>
      <c r="N363" s="253"/>
      <c r="O363" s="253"/>
      <c r="P363" s="253"/>
      <c r="Q363" s="253"/>
      <c r="R363" s="253"/>
      <c r="S363" s="253"/>
      <c r="T363" s="253"/>
      <c r="U363" s="253"/>
      <c r="V363" s="143" t="s">
        <v>783</v>
      </c>
      <c r="W363" s="253"/>
      <c r="X363" s="1156"/>
      <c r="Y363" s="1156"/>
      <c r="Z363" s="1156"/>
      <c r="AA363" s="1156"/>
      <c r="AB363" s="1156"/>
      <c r="AC363" s="82"/>
      <c r="AD363" s="128" t="s">
        <v>854</v>
      </c>
      <c r="AE363" s="1159"/>
      <c r="AF363" s="1160"/>
      <c r="AG363" s="1160"/>
      <c r="AH363" s="1160"/>
      <c r="AI363" s="1160"/>
      <c r="AJ363" s="1160"/>
      <c r="AK363" s="1160"/>
      <c r="AL363" s="1161"/>
      <c r="AM363" s="83"/>
    </row>
    <row r="364" spans="2:39">
      <c r="B364" s="1182"/>
      <c r="C364" s="1185"/>
      <c r="D364" s="1246"/>
      <c r="E364" s="196" t="s">
        <v>615</v>
      </c>
      <c r="F364" s="150" t="s">
        <v>322</v>
      </c>
      <c r="G364" s="241"/>
      <c r="H364" s="90"/>
      <c r="I364" s="90"/>
      <c r="J364" s="90"/>
      <c r="K364" s="90"/>
      <c r="L364" s="90"/>
      <c r="M364" s="90"/>
      <c r="N364" s="90"/>
      <c r="O364" s="90"/>
      <c r="P364" s="90"/>
      <c r="Q364" s="90"/>
      <c r="R364" s="90"/>
      <c r="S364" s="90"/>
      <c r="T364" s="90"/>
      <c r="U364" s="90"/>
      <c r="V364" s="148" t="s">
        <v>784</v>
      </c>
      <c r="W364" s="90"/>
      <c r="X364" s="1156"/>
      <c r="Y364" s="1156"/>
      <c r="Z364" s="1156"/>
      <c r="AA364" s="1156"/>
      <c r="AB364" s="1156"/>
      <c r="AC364" s="82"/>
      <c r="AD364" s="128" t="s">
        <v>854</v>
      </c>
      <c r="AE364" s="1162"/>
      <c r="AF364" s="1163"/>
      <c r="AG364" s="1163"/>
      <c r="AH364" s="1163"/>
      <c r="AI364" s="1163"/>
      <c r="AJ364" s="1163"/>
      <c r="AK364" s="1163"/>
      <c r="AL364" s="1164"/>
      <c r="AM364" s="83"/>
    </row>
    <row r="365" spans="2:39">
      <c r="B365" s="1182"/>
      <c r="C365" s="1185"/>
      <c r="D365" s="1246"/>
      <c r="E365" s="242" t="s">
        <v>617</v>
      </c>
      <c r="F365" s="136" t="s">
        <v>323</v>
      </c>
      <c r="G365" s="123"/>
      <c r="V365" s="153" t="s">
        <v>785</v>
      </c>
      <c r="X365" s="1156"/>
      <c r="Y365" s="1156"/>
      <c r="Z365" s="1156"/>
      <c r="AA365" s="1156"/>
      <c r="AB365" s="1156"/>
      <c r="AC365" s="82"/>
      <c r="AD365" s="128" t="s">
        <v>854</v>
      </c>
      <c r="AE365" s="1162"/>
      <c r="AF365" s="1163"/>
      <c r="AG365" s="1163"/>
      <c r="AH365" s="1163"/>
      <c r="AI365" s="1163"/>
      <c r="AJ365" s="1163"/>
      <c r="AK365" s="1163"/>
      <c r="AL365" s="1164"/>
      <c r="AM365" s="83"/>
    </row>
    <row r="366" spans="2:39">
      <c r="B366" s="1182"/>
      <c r="C366" s="1185"/>
      <c r="D366" s="1247"/>
      <c r="E366" s="196" t="s">
        <v>619</v>
      </c>
      <c r="F366" s="150" t="s">
        <v>324</v>
      </c>
      <c r="G366" s="241"/>
      <c r="H366" s="90"/>
      <c r="I366" s="90"/>
      <c r="J366" s="90"/>
      <c r="K366" s="90"/>
      <c r="L366" s="90"/>
      <c r="M366" s="90"/>
      <c r="N366" s="90"/>
      <c r="O366" s="90"/>
      <c r="P366" s="90"/>
      <c r="Q366" s="90"/>
      <c r="R366" s="90"/>
      <c r="S366" s="90"/>
      <c r="T366" s="90"/>
      <c r="U366" s="90"/>
      <c r="V366" s="148" t="s">
        <v>786</v>
      </c>
      <c r="W366" s="90"/>
      <c r="X366" s="1156">
        <v>0</v>
      </c>
      <c r="Y366" s="1156"/>
      <c r="Z366" s="1156"/>
      <c r="AA366" s="1156"/>
      <c r="AB366" s="1156"/>
      <c r="AC366" s="90"/>
      <c r="AD366" s="128" t="s">
        <v>854</v>
      </c>
      <c r="AE366" s="1165"/>
      <c r="AF366" s="1166"/>
      <c r="AG366" s="1166"/>
      <c r="AH366" s="1166"/>
      <c r="AI366" s="1166"/>
      <c r="AJ366" s="1166"/>
      <c r="AK366" s="1166"/>
      <c r="AL366" s="1167"/>
      <c r="AM366" s="83"/>
    </row>
    <row r="367" spans="2:39">
      <c r="B367" s="1182"/>
      <c r="C367" s="1185"/>
      <c r="D367" s="240">
        <v>6</v>
      </c>
      <c r="E367" s="136" t="s">
        <v>325</v>
      </c>
      <c r="F367" s="123"/>
      <c r="G367" s="123"/>
      <c r="AE367" s="115">
        <v>6</v>
      </c>
      <c r="AG367" s="1156">
        <v>0</v>
      </c>
      <c r="AH367" s="1156"/>
      <c r="AI367" s="1156"/>
      <c r="AJ367" s="1156"/>
      <c r="AK367" s="1156"/>
      <c r="AL367" s="223" t="s">
        <v>854</v>
      </c>
      <c r="AM367" s="83"/>
    </row>
    <row r="368" spans="2:39" ht="27" customHeight="1">
      <c r="B368" s="1182"/>
      <c r="C368" s="1185"/>
      <c r="D368" s="244">
        <v>7</v>
      </c>
      <c r="E368" s="1179" t="s">
        <v>861</v>
      </c>
      <c r="F368" s="1180"/>
      <c r="G368" s="1180"/>
      <c r="H368" s="1180"/>
      <c r="I368" s="1180"/>
      <c r="J368" s="1180"/>
      <c r="K368" s="1180"/>
      <c r="L368" s="1180"/>
      <c r="M368" s="1180"/>
      <c r="N368" s="1180"/>
      <c r="O368" s="1180"/>
      <c r="P368" s="1180"/>
      <c r="Q368" s="1180"/>
      <c r="R368" s="1180"/>
      <c r="S368" s="1180"/>
      <c r="T368" s="1180"/>
      <c r="U368" s="90"/>
      <c r="V368" s="246">
        <v>7</v>
      </c>
      <c r="W368" s="90"/>
      <c r="X368" s="1156"/>
      <c r="Y368" s="1156"/>
      <c r="Z368" s="1156"/>
      <c r="AA368" s="1156"/>
      <c r="AB368" s="1156"/>
      <c r="AC368" s="82"/>
      <c r="AD368" s="245" t="s">
        <v>854</v>
      </c>
      <c r="AE368" s="1159"/>
      <c r="AF368" s="1160"/>
      <c r="AG368" s="1160"/>
      <c r="AH368" s="1160"/>
      <c r="AI368" s="1160"/>
      <c r="AJ368" s="1160"/>
      <c r="AK368" s="1160"/>
      <c r="AL368" s="1161"/>
      <c r="AM368" s="83"/>
    </row>
    <row r="369" spans="2:39" ht="28.5" customHeight="1">
      <c r="B369" s="1182"/>
      <c r="C369" s="1185"/>
      <c r="D369" s="244">
        <v>8</v>
      </c>
      <c r="E369" s="1179" t="s">
        <v>862</v>
      </c>
      <c r="F369" s="1180"/>
      <c r="G369" s="1180"/>
      <c r="H369" s="1180"/>
      <c r="I369" s="1180"/>
      <c r="J369" s="1180"/>
      <c r="K369" s="1180"/>
      <c r="L369" s="1180"/>
      <c r="M369" s="1180"/>
      <c r="N369" s="1180"/>
      <c r="O369" s="1180"/>
      <c r="P369" s="1180"/>
      <c r="Q369" s="1180"/>
      <c r="R369" s="1180"/>
      <c r="S369" s="1180"/>
      <c r="T369" s="1180"/>
      <c r="V369" s="246">
        <v>8</v>
      </c>
      <c r="W369" s="90"/>
      <c r="X369" s="1156"/>
      <c r="Y369" s="1156"/>
      <c r="Z369" s="1156"/>
      <c r="AA369" s="1156"/>
      <c r="AB369" s="1156"/>
      <c r="AC369" s="82"/>
      <c r="AD369" s="245" t="s">
        <v>854</v>
      </c>
      <c r="AE369" s="1162"/>
      <c r="AF369" s="1163"/>
      <c r="AG369" s="1163"/>
      <c r="AH369" s="1163"/>
      <c r="AI369" s="1163"/>
      <c r="AJ369" s="1163"/>
      <c r="AK369" s="1163"/>
      <c r="AL369" s="1164"/>
      <c r="AM369" s="83"/>
    </row>
    <row r="370" spans="2:39">
      <c r="B370" s="1182"/>
      <c r="C370" s="1185"/>
      <c r="D370" s="240">
        <v>9</v>
      </c>
      <c r="E370" s="138" t="s">
        <v>863</v>
      </c>
      <c r="F370" s="241"/>
      <c r="G370" s="241"/>
      <c r="H370" s="90"/>
      <c r="I370" s="90"/>
      <c r="J370" s="90"/>
      <c r="K370" s="90"/>
      <c r="L370" s="90"/>
      <c r="M370" s="90"/>
      <c r="N370" s="90"/>
      <c r="O370" s="90"/>
      <c r="P370" s="90"/>
      <c r="Q370" s="90"/>
      <c r="R370" s="90"/>
      <c r="S370" s="90"/>
      <c r="T370" s="90"/>
      <c r="U370" s="90"/>
      <c r="V370" s="115">
        <v>9</v>
      </c>
      <c r="W370" s="90"/>
      <c r="X370" s="1156">
        <v>0</v>
      </c>
      <c r="Y370" s="1156"/>
      <c r="Z370" s="1156"/>
      <c r="AA370" s="1156"/>
      <c r="AB370" s="1156"/>
      <c r="AC370" s="90"/>
      <c r="AD370" s="128" t="s">
        <v>854</v>
      </c>
      <c r="AE370" s="1165"/>
      <c r="AF370" s="1166"/>
      <c r="AG370" s="1166"/>
      <c r="AH370" s="1166"/>
      <c r="AI370" s="1166"/>
      <c r="AJ370" s="1166"/>
      <c r="AK370" s="1166"/>
      <c r="AL370" s="1167"/>
      <c r="AM370" s="83"/>
    </row>
    <row r="371" spans="2:39">
      <c r="B371" s="1182"/>
      <c r="C371" s="1185"/>
      <c r="D371" s="240">
        <v>10</v>
      </c>
      <c r="E371" s="136" t="s">
        <v>326</v>
      </c>
      <c r="F371" s="123"/>
      <c r="G371" s="123"/>
      <c r="AE371" s="108">
        <v>10</v>
      </c>
      <c r="AG371" s="1156">
        <v>0</v>
      </c>
      <c r="AH371" s="1156"/>
      <c r="AI371" s="1156"/>
      <c r="AJ371" s="1156"/>
      <c r="AK371" s="1156"/>
      <c r="AL371" s="223" t="s">
        <v>854</v>
      </c>
      <c r="AM371" s="83"/>
    </row>
    <row r="372" spans="2:39">
      <c r="B372" s="1182"/>
      <c r="C372" s="1185"/>
      <c r="D372" s="240">
        <v>11</v>
      </c>
      <c r="E372" s="138" t="s">
        <v>327</v>
      </c>
      <c r="F372" s="241"/>
      <c r="G372" s="241"/>
      <c r="H372" s="90"/>
      <c r="I372" s="90"/>
      <c r="J372" s="90"/>
      <c r="K372" s="90"/>
      <c r="L372" s="90"/>
      <c r="M372" s="90"/>
      <c r="N372" s="90"/>
      <c r="O372" s="90"/>
      <c r="P372" s="90"/>
      <c r="Q372" s="90"/>
      <c r="R372" s="90"/>
      <c r="S372" s="90"/>
      <c r="T372" s="90"/>
      <c r="U372" s="90"/>
      <c r="V372" s="90"/>
      <c r="W372" s="90"/>
      <c r="X372" s="90"/>
      <c r="Y372" s="90"/>
      <c r="Z372" s="90"/>
      <c r="AA372" s="90"/>
      <c r="AB372" s="90"/>
      <c r="AC372" s="90"/>
      <c r="AD372" s="90"/>
      <c r="AE372" s="115">
        <v>11</v>
      </c>
      <c r="AF372" s="91"/>
      <c r="AG372" s="1156"/>
      <c r="AH372" s="1156"/>
      <c r="AI372" s="1156"/>
      <c r="AJ372" s="1156"/>
      <c r="AK372" s="1156"/>
      <c r="AL372" s="223" t="s">
        <v>854</v>
      </c>
      <c r="AM372" s="83"/>
    </row>
    <row r="373" spans="2:39">
      <c r="B373" s="1182"/>
      <c r="C373" s="1185"/>
      <c r="D373" s="240">
        <v>12</v>
      </c>
      <c r="E373" s="136" t="s">
        <v>328</v>
      </c>
      <c r="AE373" s="1159"/>
      <c r="AF373" s="1160"/>
      <c r="AG373" s="1160"/>
      <c r="AH373" s="1160"/>
      <c r="AI373" s="1160"/>
      <c r="AJ373" s="1160"/>
      <c r="AK373" s="1160"/>
      <c r="AL373" s="1161"/>
      <c r="AM373" s="83"/>
    </row>
    <row r="374" spans="2:39">
      <c r="B374" s="1182"/>
      <c r="C374" s="1185"/>
      <c r="D374" s="1161"/>
      <c r="E374" s="1242" t="s">
        <v>749</v>
      </c>
      <c r="F374" s="281" t="s">
        <v>329</v>
      </c>
      <c r="G374" s="82"/>
      <c r="H374" s="82"/>
      <c r="I374" s="82"/>
      <c r="J374" s="82"/>
      <c r="K374" s="82"/>
      <c r="L374" s="82"/>
      <c r="M374" s="82"/>
      <c r="N374" s="82"/>
      <c r="O374" s="82"/>
      <c r="P374" s="82"/>
      <c r="Q374" s="82"/>
      <c r="R374" s="82"/>
      <c r="S374" s="82"/>
      <c r="T374" s="82"/>
      <c r="U374" s="82"/>
      <c r="V374" s="1242" t="s">
        <v>898</v>
      </c>
      <c r="W374" s="1173"/>
      <c r="X374" s="1174"/>
      <c r="Y374" s="1174"/>
      <c r="Z374" s="1174"/>
      <c r="AA374" s="1174"/>
      <c r="AB374" s="1174"/>
      <c r="AC374" s="1160"/>
      <c r="AD374" s="1171" t="s">
        <v>854</v>
      </c>
      <c r="AE374" s="1162"/>
      <c r="AF374" s="1163"/>
      <c r="AG374" s="1163"/>
      <c r="AH374" s="1163"/>
      <c r="AI374" s="1163"/>
      <c r="AJ374" s="1163"/>
      <c r="AK374" s="1163"/>
      <c r="AL374" s="1164"/>
      <c r="AM374" s="83"/>
    </row>
    <row r="375" spans="2:39">
      <c r="B375" s="1182"/>
      <c r="C375" s="1185"/>
      <c r="D375" s="1164"/>
      <c r="E375" s="1243"/>
      <c r="F375" s="282" t="s">
        <v>865</v>
      </c>
      <c r="G375" s="80"/>
      <c r="H375" s="80"/>
      <c r="I375" s="80"/>
      <c r="J375" s="80"/>
      <c r="K375" s="80"/>
      <c r="L375" s="80"/>
      <c r="M375" s="80"/>
      <c r="N375" s="80"/>
      <c r="O375" s="80"/>
      <c r="P375" s="80"/>
      <c r="Q375" s="80"/>
      <c r="R375" s="80"/>
      <c r="S375" s="80"/>
      <c r="T375" s="80"/>
      <c r="U375" s="80"/>
      <c r="V375" s="1243"/>
      <c r="W375" s="1175"/>
      <c r="X375" s="1176"/>
      <c r="Y375" s="1176"/>
      <c r="Z375" s="1176"/>
      <c r="AA375" s="1176"/>
      <c r="AB375" s="1176"/>
      <c r="AC375" s="1166"/>
      <c r="AD375" s="1172"/>
      <c r="AE375" s="1162"/>
      <c r="AF375" s="1163"/>
      <c r="AG375" s="1163"/>
      <c r="AH375" s="1163"/>
      <c r="AI375" s="1163"/>
      <c r="AJ375" s="1163"/>
      <c r="AK375" s="1163"/>
      <c r="AL375" s="1164"/>
      <c r="AM375" s="83"/>
    </row>
    <row r="376" spans="2:39">
      <c r="B376" s="1182"/>
      <c r="C376" s="1185"/>
      <c r="D376" s="1164"/>
      <c r="E376" s="1242" t="s">
        <v>764</v>
      </c>
      <c r="F376" s="281" t="s">
        <v>330</v>
      </c>
      <c r="G376" s="82"/>
      <c r="H376" s="82"/>
      <c r="I376" s="82"/>
      <c r="J376" s="82"/>
      <c r="K376" s="82"/>
      <c r="L376" s="82"/>
      <c r="M376" s="82"/>
      <c r="N376" s="82"/>
      <c r="O376" s="82"/>
      <c r="P376" s="82"/>
      <c r="Q376" s="82"/>
      <c r="R376" s="82"/>
      <c r="S376" s="82"/>
      <c r="T376" s="82"/>
      <c r="U376" s="82"/>
      <c r="V376" s="1242" t="s">
        <v>899</v>
      </c>
      <c r="W376" s="1173"/>
      <c r="X376" s="1174"/>
      <c r="Y376" s="1174"/>
      <c r="Z376" s="1174"/>
      <c r="AA376" s="1174"/>
      <c r="AB376" s="1174"/>
      <c r="AC376" s="1160"/>
      <c r="AD376" s="1171" t="s">
        <v>854</v>
      </c>
      <c r="AE376" s="1162"/>
      <c r="AF376" s="1163"/>
      <c r="AG376" s="1163"/>
      <c r="AH376" s="1163"/>
      <c r="AI376" s="1163"/>
      <c r="AJ376" s="1163"/>
      <c r="AK376" s="1163"/>
      <c r="AL376" s="1164"/>
      <c r="AM376" s="83"/>
    </row>
    <row r="377" spans="2:39">
      <c r="B377" s="1182"/>
      <c r="C377" s="1185"/>
      <c r="D377" s="1164"/>
      <c r="E377" s="1243"/>
      <c r="F377" s="243" t="s">
        <v>866</v>
      </c>
      <c r="G377" s="80"/>
      <c r="H377" s="80"/>
      <c r="I377" s="80"/>
      <c r="J377" s="80"/>
      <c r="K377" s="80"/>
      <c r="L377" s="80"/>
      <c r="M377" s="80"/>
      <c r="N377" s="80"/>
      <c r="O377" s="80"/>
      <c r="P377" s="80"/>
      <c r="Q377" s="80"/>
      <c r="R377" s="80"/>
      <c r="S377" s="80"/>
      <c r="T377" s="80"/>
      <c r="U377" s="80"/>
      <c r="V377" s="1243"/>
      <c r="W377" s="1175"/>
      <c r="X377" s="1176"/>
      <c r="Y377" s="1176"/>
      <c r="Z377" s="1176"/>
      <c r="AA377" s="1176"/>
      <c r="AB377" s="1176"/>
      <c r="AC377" s="1166"/>
      <c r="AD377" s="1172"/>
      <c r="AE377" s="1165"/>
      <c r="AF377" s="1166"/>
      <c r="AG377" s="1166"/>
      <c r="AH377" s="1166"/>
      <c r="AI377" s="1166"/>
      <c r="AJ377" s="1166"/>
      <c r="AK377" s="1166"/>
      <c r="AL377" s="1167"/>
      <c r="AM377" s="83"/>
    </row>
    <row r="378" spans="2:39">
      <c r="B378" s="1182"/>
      <c r="C378" s="1185"/>
      <c r="D378" s="1167"/>
      <c r="E378" s="115" t="s">
        <v>765</v>
      </c>
      <c r="F378" s="138" t="s">
        <v>864</v>
      </c>
      <c r="G378" s="90"/>
      <c r="H378" s="90"/>
      <c r="I378" s="90"/>
      <c r="J378" s="90"/>
      <c r="K378" s="90"/>
      <c r="L378" s="90"/>
      <c r="M378" s="90"/>
      <c r="N378" s="90"/>
      <c r="O378" s="90"/>
      <c r="P378" s="90"/>
      <c r="Q378" s="90"/>
      <c r="R378" s="90"/>
      <c r="S378" s="90"/>
      <c r="T378" s="90"/>
      <c r="U378" s="90"/>
      <c r="V378" s="90"/>
      <c r="W378" s="90"/>
      <c r="X378" s="90"/>
      <c r="Y378" s="90"/>
      <c r="Z378" s="90"/>
      <c r="AA378" s="90"/>
      <c r="AB378" s="90"/>
      <c r="AC378" s="90"/>
      <c r="AD378" s="90"/>
      <c r="AE378" s="198" t="s">
        <v>900</v>
      </c>
      <c r="AF378" s="91"/>
      <c r="AG378" s="1156">
        <v>0</v>
      </c>
      <c r="AH378" s="1156"/>
      <c r="AI378" s="1156"/>
      <c r="AJ378" s="1156"/>
      <c r="AK378" s="1156"/>
      <c r="AL378" s="223" t="s">
        <v>854</v>
      </c>
      <c r="AM378" s="83"/>
    </row>
    <row r="379" spans="2:39">
      <c r="B379" s="1182"/>
      <c r="C379" s="1185"/>
      <c r="D379" s="89">
        <v>13</v>
      </c>
      <c r="E379" s="136" t="s">
        <v>331</v>
      </c>
      <c r="AE379" s="108">
        <v>13</v>
      </c>
      <c r="AG379" s="1156">
        <v>0</v>
      </c>
      <c r="AH379" s="1156"/>
      <c r="AI379" s="1156"/>
      <c r="AJ379" s="1156"/>
      <c r="AK379" s="1156"/>
      <c r="AL379" s="223" t="s">
        <v>854</v>
      </c>
      <c r="AM379" s="83"/>
    </row>
    <row r="380" spans="2:39" ht="26.25" customHeight="1">
      <c r="B380" s="1182"/>
      <c r="C380" s="1185"/>
      <c r="D380" s="246">
        <v>14</v>
      </c>
      <c r="E380" s="1179" t="s">
        <v>867</v>
      </c>
      <c r="F380" s="1180"/>
      <c r="G380" s="1180"/>
      <c r="H380" s="1180"/>
      <c r="I380" s="1180"/>
      <c r="J380" s="1180"/>
      <c r="K380" s="1180"/>
      <c r="L380" s="1180"/>
      <c r="M380" s="1180"/>
      <c r="N380" s="1180"/>
      <c r="O380" s="1180"/>
      <c r="P380" s="1180"/>
      <c r="Q380" s="1180"/>
      <c r="R380" s="1180"/>
      <c r="S380" s="1180"/>
      <c r="T380" s="1180"/>
      <c r="U380" s="90"/>
      <c r="V380" s="246">
        <v>14</v>
      </c>
      <c r="W380" s="90"/>
      <c r="X380" s="1156"/>
      <c r="Y380" s="1156"/>
      <c r="Z380" s="1156"/>
      <c r="AA380" s="1156"/>
      <c r="AB380" s="1156"/>
      <c r="AC380" s="90"/>
      <c r="AD380" s="245" t="s">
        <v>854</v>
      </c>
      <c r="AE380" s="1159"/>
      <c r="AF380" s="1160"/>
      <c r="AG380" s="1160"/>
      <c r="AH380" s="1160"/>
      <c r="AI380" s="1160"/>
      <c r="AJ380" s="1160"/>
      <c r="AK380" s="1160"/>
      <c r="AL380" s="1161"/>
      <c r="AM380" s="83"/>
    </row>
    <row r="381" spans="2:39" ht="27" customHeight="1">
      <c r="B381" s="1182"/>
      <c r="C381" s="1185"/>
      <c r="D381" s="246">
        <v>15</v>
      </c>
      <c r="E381" s="1179" t="s">
        <v>868</v>
      </c>
      <c r="F381" s="1180"/>
      <c r="G381" s="1180"/>
      <c r="H381" s="1180"/>
      <c r="I381" s="1180"/>
      <c r="J381" s="1180"/>
      <c r="K381" s="1180"/>
      <c r="L381" s="1180"/>
      <c r="M381" s="1180"/>
      <c r="N381" s="1180"/>
      <c r="O381" s="1180"/>
      <c r="P381" s="1180"/>
      <c r="Q381" s="1180"/>
      <c r="R381" s="1180"/>
      <c r="S381" s="1180"/>
      <c r="T381" s="1180"/>
      <c r="V381" s="246">
        <v>15</v>
      </c>
      <c r="X381" s="1156"/>
      <c r="Y381" s="1156"/>
      <c r="Z381" s="1156"/>
      <c r="AA381" s="1156"/>
      <c r="AB381" s="1156"/>
      <c r="AC381" s="90"/>
      <c r="AD381" s="245" t="s">
        <v>854</v>
      </c>
      <c r="AE381" s="1162"/>
      <c r="AF381" s="1163"/>
      <c r="AG381" s="1163"/>
      <c r="AH381" s="1163"/>
      <c r="AI381" s="1163"/>
      <c r="AJ381" s="1163"/>
      <c r="AK381" s="1163"/>
      <c r="AL381" s="1164"/>
      <c r="AM381" s="83"/>
    </row>
    <row r="382" spans="2:39" ht="25.5" customHeight="1">
      <c r="B382" s="1182"/>
      <c r="C382" s="1185"/>
      <c r="D382" s="246">
        <v>16</v>
      </c>
      <c r="E382" s="1179" t="s">
        <v>869</v>
      </c>
      <c r="F382" s="1180"/>
      <c r="G382" s="1180"/>
      <c r="H382" s="1180"/>
      <c r="I382" s="1180"/>
      <c r="J382" s="1180"/>
      <c r="K382" s="1180"/>
      <c r="L382" s="1180"/>
      <c r="M382" s="1180"/>
      <c r="N382" s="1180"/>
      <c r="O382" s="1180"/>
      <c r="P382" s="1180"/>
      <c r="Q382" s="1180"/>
      <c r="R382" s="1180"/>
      <c r="S382" s="1180"/>
      <c r="T382" s="1180"/>
      <c r="U382" s="90"/>
      <c r="V382" s="246">
        <v>16</v>
      </c>
      <c r="W382" s="90"/>
      <c r="X382" s="1156"/>
      <c r="Y382" s="1156"/>
      <c r="Z382" s="1156"/>
      <c r="AA382" s="1156"/>
      <c r="AB382" s="1156"/>
      <c r="AC382" s="90"/>
      <c r="AD382" s="245" t="s">
        <v>854</v>
      </c>
      <c r="AE382" s="1162"/>
      <c r="AF382" s="1163"/>
      <c r="AG382" s="1163"/>
      <c r="AH382" s="1163"/>
      <c r="AI382" s="1163"/>
      <c r="AJ382" s="1163"/>
      <c r="AK382" s="1163"/>
      <c r="AL382" s="1164"/>
      <c r="AM382" s="83"/>
    </row>
    <row r="383" spans="2:39" ht="24.75" customHeight="1">
      <c r="B383" s="1182"/>
      <c r="C383" s="1185"/>
      <c r="D383" s="246">
        <v>17</v>
      </c>
      <c r="E383" s="1179" t="s">
        <v>870</v>
      </c>
      <c r="F383" s="1180"/>
      <c r="G383" s="1180"/>
      <c r="H383" s="1180"/>
      <c r="I383" s="1180"/>
      <c r="J383" s="1180"/>
      <c r="K383" s="1180"/>
      <c r="L383" s="1180"/>
      <c r="M383" s="1180"/>
      <c r="N383" s="1180"/>
      <c r="O383" s="1180"/>
      <c r="P383" s="1180"/>
      <c r="Q383" s="1180"/>
      <c r="R383" s="1180"/>
      <c r="S383" s="1180"/>
      <c r="T383" s="1180"/>
      <c r="V383" s="246">
        <v>17</v>
      </c>
      <c r="X383" s="1156"/>
      <c r="Y383" s="1156"/>
      <c r="Z383" s="1156"/>
      <c r="AA383" s="1156"/>
      <c r="AB383" s="1156"/>
      <c r="AC383" s="90"/>
      <c r="AD383" s="245" t="s">
        <v>854</v>
      </c>
      <c r="AE383" s="1162"/>
      <c r="AF383" s="1163"/>
      <c r="AG383" s="1163"/>
      <c r="AH383" s="1163"/>
      <c r="AI383" s="1163"/>
      <c r="AJ383" s="1163"/>
      <c r="AK383" s="1163"/>
      <c r="AL383" s="1164"/>
      <c r="AM383" s="83"/>
    </row>
    <row r="384" spans="2:39" ht="39" customHeight="1">
      <c r="B384" s="1182"/>
      <c r="C384" s="1185"/>
      <c r="D384" s="246">
        <v>18</v>
      </c>
      <c r="E384" s="1179" t="s">
        <v>871</v>
      </c>
      <c r="F384" s="1180"/>
      <c r="G384" s="1180"/>
      <c r="H384" s="1180"/>
      <c r="I384" s="1180"/>
      <c r="J384" s="1180"/>
      <c r="K384" s="1180"/>
      <c r="L384" s="1180"/>
      <c r="M384" s="1180"/>
      <c r="N384" s="1180"/>
      <c r="O384" s="1180"/>
      <c r="P384" s="1180"/>
      <c r="Q384" s="1180"/>
      <c r="R384" s="1180"/>
      <c r="S384" s="1180"/>
      <c r="T384" s="1180"/>
      <c r="U384" s="90"/>
      <c r="V384" s="246">
        <v>18</v>
      </c>
      <c r="W384" s="90"/>
      <c r="X384" s="1156"/>
      <c r="Y384" s="1156"/>
      <c r="Z384" s="1156"/>
      <c r="AA384" s="1156"/>
      <c r="AB384" s="1156"/>
      <c r="AC384" s="90"/>
      <c r="AD384" s="245" t="s">
        <v>854</v>
      </c>
      <c r="AE384" s="1162"/>
      <c r="AF384" s="1163"/>
      <c r="AG384" s="1163"/>
      <c r="AH384" s="1163"/>
      <c r="AI384" s="1163"/>
      <c r="AJ384" s="1163"/>
      <c r="AK384" s="1163"/>
      <c r="AL384" s="1164"/>
      <c r="AM384" s="83"/>
    </row>
    <row r="385" spans="2:39" ht="27.75" customHeight="1">
      <c r="B385" s="1182"/>
      <c r="C385" s="1185"/>
      <c r="D385" s="246">
        <v>19</v>
      </c>
      <c r="E385" s="1179" t="s">
        <v>872</v>
      </c>
      <c r="F385" s="1180"/>
      <c r="G385" s="1180"/>
      <c r="H385" s="1180"/>
      <c r="I385" s="1180"/>
      <c r="J385" s="1180"/>
      <c r="K385" s="1180"/>
      <c r="L385" s="1180"/>
      <c r="M385" s="1180"/>
      <c r="N385" s="1180"/>
      <c r="O385" s="1180"/>
      <c r="P385" s="1180"/>
      <c r="Q385" s="1180"/>
      <c r="R385" s="1180"/>
      <c r="S385" s="1180"/>
      <c r="T385" s="1180"/>
      <c r="V385" s="246">
        <v>19</v>
      </c>
      <c r="X385" s="1156"/>
      <c r="Y385" s="1156"/>
      <c r="Z385" s="1156"/>
      <c r="AA385" s="1156"/>
      <c r="AB385" s="1156"/>
      <c r="AC385" s="90"/>
      <c r="AD385" s="245" t="s">
        <v>854</v>
      </c>
      <c r="AE385" s="1162"/>
      <c r="AF385" s="1163"/>
      <c r="AG385" s="1163"/>
      <c r="AH385" s="1163"/>
      <c r="AI385" s="1163"/>
      <c r="AJ385" s="1163"/>
      <c r="AK385" s="1163"/>
      <c r="AL385" s="1164"/>
      <c r="AM385" s="83"/>
    </row>
    <row r="386" spans="2:39" ht="12" customHeight="1">
      <c r="B386" s="1182"/>
      <c r="C386" s="1185"/>
      <c r="D386" s="89">
        <v>20</v>
      </c>
      <c r="E386" s="138" t="s">
        <v>332</v>
      </c>
      <c r="F386" s="90"/>
      <c r="G386" s="90"/>
      <c r="H386" s="90"/>
      <c r="I386" s="90"/>
      <c r="J386" s="90"/>
      <c r="K386" s="90"/>
      <c r="L386" s="90"/>
      <c r="M386" s="90"/>
      <c r="N386" s="90"/>
      <c r="O386" s="90"/>
      <c r="P386" s="90"/>
      <c r="Q386" s="90"/>
      <c r="R386" s="90"/>
      <c r="S386" s="90"/>
      <c r="T386" s="90"/>
      <c r="U386" s="90"/>
      <c r="V386" s="115">
        <v>20</v>
      </c>
      <c r="W386" s="90"/>
      <c r="X386" s="1156"/>
      <c r="Y386" s="1156"/>
      <c r="Z386" s="1156"/>
      <c r="AA386" s="1156"/>
      <c r="AB386" s="1156"/>
      <c r="AC386" s="90"/>
      <c r="AD386" s="245" t="s">
        <v>854</v>
      </c>
      <c r="AE386" s="1162"/>
      <c r="AF386" s="1163"/>
      <c r="AG386" s="1163"/>
      <c r="AH386" s="1163"/>
      <c r="AI386" s="1163"/>
      <c r="AJ386" s="1163"/>
      <c r="AK386" s="1163"/>
      <c r="AL386" s="1164"/>
      <c r="AM386" s="83"/>
    </row>
    <row r="387" spans="2:39" ht="24.75" customHeight="1">
      <c r="B387" s="1182"/>
      <c r="C387" s="1185"/>
      <c r="D387" s="246">
        <v>21</v>
      </c>
      <c r="E387" s="1179" t="s">
        <v>873</v>
      </c>
      <c r="F387" s="1180"/>
      <c r="G387" s="1180"/>
      <c r="H387" s="1180"/>
      <c r="I387" s="1180"/>
      <c r="J387" s="1180"/>
      <c r="K387" s="1180"/>
      <c r="L387" s="1180"/>
      <c r="M387" s="1180"/>
      <c r="N387" s="1180"/>
      <c r="O387" s="1180"/>
      <c r="P387" s="1180"/>
      <c r="Q387" s="1180"/>
      <c r="R387" s="1180"/>
      <c r="S387" s="1180"/>
      <c r="T387" s="1180"/>
      <c r="V387" s="246">
        <v>21</v>
      </c>
      <c r="X387" s="1156"/>
      <c r="Y387" s="1156"/>
      <c r="Z387" s="1156"/>
      <c r="AA387" s="1156"/>
      <c r="AB387" s="1156"/>
      <c r="AC387" s="90"/>
      <c r="AD387" s="245" t="s">
        <v>854</v>
      </c>
      <c r="AE387" s="1162"/>
      <c r="AF387" s="1163"/>
      <c r="AG387" s="1163"/>
      <c r="AH387" s="1163"/>
      <c r="AI387" s="1163"/>
      <c r="AJ387" s="1163"/>
      <c r="AK387" s="1163"/>
      <c r="AL387" s="1164"/>
      <c r="AM387" s="83"/>
    </row>
    <row r="388" spans="2:39" ht="15" customHeight="1">
      <c r="B388" s="1182"/>
      <c r="C388" s="1185"/>
      <c r="D388" s="89">
        <v>22</v>
      </c>
      <c r="E388" s="1177" t="s">
        <v>874</v>
      </c>
      <c r="F388" s="1178"/>
      <c r="G388" s="1178"/>
      <c r="H388" s="1178"/>
      <c r="I388" s="1178"/>
      <c r="J388" s="1178"/>
      <c r="K388" s="1178"/>
      <c r="L388" s="1178"/>
      <c r="M388" s="1178"/>
      <c r="N388" s="1178"/>
      <c r="O388" s="1178"/>
      <c r="P388" s="1178"/>
      <c r="Q388" s="1178"/>
      <c r="R388" s="1178"/>
      <c r="S388" s="1178"/>
      <c r="T388" s="1178"/>
      <c r="U388" s="90"/>
      <c r="V388" s="115">
        <v>22</v>
      </c>
      <c r="W388" s="90"/>
      <c r="X388" s="1156"/>
      <c r="Y388" s="1156"/>
      <c r="Z388" s="1156"/>
      <c r="AA388" s="1156"/>
      <c r="AB388" s="1156"/>
      <c r="AC388" s="90"/>
      <c r="AD388" s="245" t="s">
        <v>854</v>
      </c>
      <c r="AE388" s="1162"/>
      <c r="AF388" s="1163"/>
      <c r="AG388" s="1163"/>
      <c r="AH388" s="1163"/>
      <c r="AI388" s="1163"/>
      <c r="AJ388" s="1163"/>
      <c r="AK388" s="1163"/>
      <c r="AL388" s="1164"/>
      <c r="AM388" s="83"/>
    </row>
    <row r="389" spans="2:39" ht="25.5" customHeight="1">
      <c r="B389" s="1182"/>
      <c r="C389" s="1185"/>
      <c r="D389" s="246">
        <v>23</v>
      </c>
      <c r="E389" s="1179" t="s">
        <v>875</v>
      </c>
      <c r="F389" s="1180"/>
      <c r="G389" s="1180"/>
      <c r="H389" s="1180"/>
      <c r="I389" s="1180"/>
      <c r="J389" s="1180"/>
      <c r="K389" s="1180"/>
      <c r="L389" s="1180"/>
      <c r="M389" s="1180"/>
      <c r="N389" s="1180"/>
      <c r="O389" s="1180"/>
      <c r="P389" s="1180"/>
      <c r="Q389" s="1180"/>
      <c r="R389" s="1180"/>
      <c r="S389" s="1180"/>
      <c r="T389" s="1180"/>
      <c r="V389" s="246">
        <v>23</v>
      </c>
      <c r="X389" s="1156"/>
      <c r="Y389" s="1156"/>
      <c r="Z389" s="1156"/>
      <c r="AA389" s="1156"/>
      <c r="AB389" s="1156"/>
      <c r="AC389" s="90"/>
      <c r="AD389" s="245" t="s">
        <v>854</v>
      </c>
      <c r="AE389" s="1165"/>
      <c r="AF389" s="1166"/>
      <c r="AG389" s="1166"/>
      <c r="AH389" s="1166"/>
      <c r="AI389" s="1166"/>
      <c r="AJ389" s="1166"/>
      <c r="AK389" s="1166"/>
      <c r="AL389" s="1167"/>
      <c r="AM389" s="83"/>
    </row>
    <row r="390" spans="2:39">
      <c r="B390" s="1182"/>
      <c r="C390" s="1185"/>
      <c r="D390" s="89">
        <v>24</v>
      </c>
      <c r="E390" s="138" t="s">
        <v>896</v>
      </c>
      <c r="F390" s="90"/>
      <c r="G390" s="90"/>
      <c r="H390" s="90"/>
      <c r="I390" s="90"/>
      <c r="J390" s="90"/>
      <c r="K390" s="90"/>
      <c r="L390" s="90"/>
      <c r="M390" s="90"/>
      <c r="N390" s="90"/>
      <c r="O390" s="90"/>
      <c r="P390" s="90"/>
      <c r="Q390" s="90"/>
      <c r="R390" s="90"/>
      <c r="S390" s="90"/>
      <c r="T390" s="90"/>
      <c r="U390" s="90"/>
      <c r="V390" s="90"/>
      <c r="W390" s="90"/>
      <c r="X390" s="90"/>
      <c r="Y390" s="90"/>
      <c r="Z390" s="90"/>
      <c r="AA390" s="90"/>
      <c r="AB390" s="90"/>
      <c r="AC390" s="90"/>
      <c r="AD390" s="90"/>
      <c r="AE390" s="104">
        <v>24</v>
      </c>
      <c r="AF390" s="91"/>
      <c r="AG390" s="1156">
        <v>0</v>
      </c>
      <c r="AH390" s="1156"/>
      <c r="AI390" s="1156"/>
      <c r="AJ390" s="1156"/>
      <c r="AK390" s="1156"/>
      <c r="AL390" s="223" t="s">
        <v>854</v>
      </c>
      <c r="AM390" s="83"/>
    </row>
    <row r="391" spans="2:39">
      <c r="B391" s="1182"/>
      <c r="C391" s="1185"/>
      <c r="D391" s="89">
        <v>25</v>
      </c>
      <c r="E391" s="1179" t="s">
        <v>333</v>
      </c>
      <c r="F391" s="1180"/>
      <c r="G391" s="1180"/>
      <c r="H391" s="1180"/>
      <c r="I391" s="1180"/>
      <c r="J391" s="1180"/>
      <c r="K391" s="1180"/>
      <c r="L391" s="1180"/>
      <c r="M391" s="1180"/>
      <c r="N391" s="1180"/>
      <c r="O391" s="1180"/>
      <c r="P391" s="1180"/>
      <c r="Q391" s="1180"/>
      <c r="R391" s="1180"/>
      <c r="S391" s="1180"/>
      <c r="T391" s="1180"/>
      <c r="V391" s="108">
        <v>25</v>
      </c>
      <c r="X391" s="1156"/>
      <c r="Y391" s="1156"/>
      <c r="Z391" s="1156"/>
      <c r="AA391" s="1156"/>
      <c r="AB391" s="1156"/>
      <c r="AC391" s="90"/>
      <c r="AD391" s="245" t="s">
        <v>854</v>
      </c>
      <c r="AE391" s="1159"/>
      <c r="AF391" s="1160"/>
      <c r="AG391" s="1160"/>
      <c r="AH391" s="1160"/>
      <c r="AI391" s="1160"/>
      <c r="AJ391" s="1160"/>
      <c r="AK391" s="1160"/>
      <c r="AL391" s="1161"/>
      <c r="AM391" s="83"/>
    </row>
    <row r="392" spans="2:39" ht="38.25" customHeight="1">
      <c r="B392" s="1182"/>
      <c r="C392" s="1185"/>
      <c r="D392" s="246">
        <v>26</v>
      </c>
      <c r="E392" s="1179" t="s">
        <v>902</v>
      </c>
      <c r="F392" s="1180"/>
      <c r="G392" s="1180"/>
      <c r="H392" s="1180"/>
      <c r="I392" s="1180"/>
      <c r="J392" s="1180"/>
      <c r="K392" s="1180"/>
      <c r="L392" s="1180"/>
      <c r="M392" s="1180"/>
      <c r="N392" s="1180"/>
      <c r="O392" s="1180"/>
      <c r="P392" s="1180"/>
      <c r="Q392" s="1180"/>
      <c r="R392" s="1180"/>
      <c r="S392" s="1180"/>
      <c r="T392" s="1180"/>
      <c r="U392" s="90"/>
      <c r="V392" s="246">
        <v>26</v>
      </c>
      <c r="W392" s="90"/>
      <c r="X392" s="1156"/>
      <c r="Y392" s="1156"/>
      <c r="Z392" s="1156"/>
      <c r="AA392" s="1156"/>
      <c r="AB392" s="1156"/>
      <c r="AC392" s="90"/>
      <c r="AD392" s="245" t="s">
        <v>854</v>
      </c>
      <c r="AE392" s="1162"/>
      <c r="AF392" s="1163"/>
      <c r="AG392" s="1163"/>
      <c r="AH392" s="1163"/>
      <c r="AI392" s="1163"/>
      <c r="AJ392" s="1163"/>
      <c r="AK392" s="1163"/>
      <c r="AL392" s="1164"/>
      <c r="AM392" s="83"/>
    </row>
    <row r="393" spans="2:39" ht="39.75" customHeight="1">
      <c r="B393" s="1182"/>
      <c r="C393" s="1185"/>
      <c r="D393" s="246">
        <v>27</v>
      </c>
      <c r="E393" s="1179" t="s">
        <v>903</v>
      </c>
      <c r="F393" s="1180"/>
      <c r="G393" s="1180"/>
      <c r="H393" s="1180"/>
      <c r="I393" s="1180"/>
      <c r="J393" s="1180"/>
      <c r="K393" s="1180"/>
      <c r="L393" s="1180"/>
      <c r="M393" s="1180"/>
      <c r="N393" s="1180"/>
      <c r="O393" s="1180"/>
      <c r="P393" s="1180"/>
      <c r="Q393" s="1180"/>
      <c r="R393" s="1180"/>
      <c r="S393" s="1180"/>
      <c r="T393" s="1180"/>
      <c r="V393" s="246">
        <v>27</v>
      </c>
      <c r="X393" s="1156"/>
      <c r="Y393" s="1156"/>
      <c r="Z393" s="1156"/>
      <c r="AA393" s="1156"/>
      <c r="AB393" s="1156"/>
      <c r="AC393" s="90"/>
      <c r="AD393" s="245" t="s">
        <v>854</v>
      </c>
      <c r="AE393" s="1162"/>
      <c r="AF393" s="1163"/>
      <c r="AG393" s="1163"/>
      <c r="AH393" s="1163"/>
      <c r="AI393" s="1163"/>
      <c r="AJ393" s="1163"/>
      <c r="AK393" s="1163"/>
      <c r="AL393" s="1164"/>
      <c r="AM393" s="83"/>
    </row>
    <row r="394" spans="2:39" ht="36" customHeight="1">
      <c r="B394" s="1182"/>
      <c r="C394" s="1185"/>
      <c r="D394" s="246">
        <v>28</v>
      </c>
      <c r="E394" s="1179" t="s">
        <v>904</v>
      </c>
      <c r="F394" s="1180"/>
      <c r="G394" s="1180"/>
      <c r="H394" s="1180"/>
      <c r="I394" s="1180"/>
      <c r="J394" s="1180"/>
      <c r="K394" s="1180"/>
      <c r="L394" s="1180"/>
      <c r="M394" s="1180"/>
      <c r="N394" s="1180"/>
      <c r="O394" s="1180"/>
      <c r="P394" s="1180"/>
      <c r="Q394" s="1180"/>
      <c r="R394" s="1180"/>
      <c r="S394" s="1180"/>
      <c r="T394" s="1180"/>
      <c r="U394" s="90"/>
      <c r="V394" s="246">
        <v>28</v>
      </c>
      <c r="W394" s="90"/>
      <c r="X394" s="1156"/>
      <c r="Y394" s="1156"/>
      <c r="Z394" s="1156"/>
      <c r="AA394" s="1156"/>
      <c r="AB394" s="1156"/>
      <c r="AC394" s="90"/>
      <c r="AD394" s="245" t="s">
        <v>854</v>
      </c>
      <c r="AE394" s="1162"/>
      <c r="AF394" s="1163"/>
      <c r="AG394" s="1163"/>
      <c r="AH394" s="1163"/>
      <c r="AI394" s="1163"/>
      <c r="AJ394" s="1163"/>
      <c r="AK394" s="1163"/>
      <c r="AL394" s="1164"/>
      <c r="AM394" s="83"/>
    </row>
    <row r="395" spans="2:39" ht="14.25" customHeight="1">
      <c r="B395" s="1182"/>
      <c r="C395" s="1185"/>
      <c r="D395" s="116">
        <v>29</v>
      </c>
      <c r="E395" s="136" t="s">
        <v>334</v>
      </c>
      <c r="AE395" s="1162"/>
      <c r="AF395" s="1163"/>
      <c r="AG395" s="1163"/>
      <c r="AH395" s="1163"/>
      <c r="AI395" s="1163"/>
      <c r="AJ395" s="1163"/>
      <c r="AK395" s="1163"/>
      <c r="AL395" s="1164"/>
      <c r="AM395" s="83"/>
    </row>
    <row r="396" spans="2:39">
      <c r="B396" s="1182"/>
      <c r="C396" s="1185"/>
      <c r="D396" s="81"/>
      <c r="E396" s="115" t="s">
        <v>613</v>
      </c>
      <c r="F396" s="150" t="s">
        <v>905</v>
      </c>
      <c r="G396" s="90"/>
      <c r="H396" s="90"/>
      <c r="I396" s="90"/>
      <c r="J396" s="90"/>
      <c r="K396" s="90"/>
      <c r="L396" s="90"/>
      <c r="M396" s="90"/>
      <c r="N396" s="90"/>
      <c r="O396" s="90"/>
      <c r="P396" s="90"/>
      <c r="Q396" s="90"/>
      <c r="R396" s="90"/>
      <c r="S396" s="90"/>
      <c r="T396" s="90"/>
      <c r="U396" s="90"/>
      <c r="V396" s="115" t="s">
        <v>337</v>
      </c>
      <c r="W396" s="90"/>
      <c r="X396" s="1156"/>
      <c r="Y396" s="1156"/>
      <c r="Z396" s="1156"/>
      <c r="AA396" s="1156"/>
      <c r="AB396" s="1156"/>
      <c r="AC396" s="90"/>
      <c r="AD396" s="245" t="s">
        <v>854</v>
      </c>
      <c r="AE396" s="1162"/>
      <c r="AF396" s="1163"/>
      <c r="AG396" s="1163"/>
      <c r="AH396" s="1163"/>
      <c r="AI396" s="1163"/>
      <c r="AJ396" s="1163"/>
      <c r="AK396" s="1163"/>
      <c r="AL396" s="1164"/>
      <c r="AM396" s="83"/>
    </row>
    <row r="397" spans="2:39">
      <c r="B397" s="1182"/>
      <c r="C397" s="1185"/>
      <c r="D397" s="84"/>
      <c r="E397" s="109" t="s">
        <v>615</v>
      </c>
      <c r="F397" s="136" t="s">
        <v>335</v>
      </c>
      <c r="V397" s="108" t="s">
        <v>338</v>
      </c>
      <c r="X397" s="1156"/>
      <c r="Y397" s="1156"/>
      <c r="Z397" s="1156"/>
      <c r="AA397" s="1156"/>
      <c r="AB397" s="1156"/>
      <c r="AC397" s="90"/>
      <c r="AD397" s="245" t="s">
        <v>854</v>
      </c>
      <c r="AE397" s="1162"/>
      <c r="AF397" s="1163"/>
      <c r="AG397" s="1163"/>
      <c r="AH397" s="1163"/>
      <c r="AI397" s="1163"/>
      <c r="AJ397" s="1163"/>
      <c r="AK397" s="1163"/>
      <c r="AL397" s="1164"/>
      <c r="AM397" s="83"/>
    </row>
    <row r="398" spans="2:39">
      <c r="B398" s="1182"/>
      <c r="C398" s="1185"/>
      <c r="D398" s="87"/>
      <c r="E398" s="115" t="s">
        <v>617</v>
      </c>
      <c r="F398" s="138" t="s">
        <v>906</v>
      </c>
      <c r="G398" s="90"/>
      <c r="H398" s="90"/>
      <c r="I398" s="90"/>
      <c r="J398" s="90"/>
      <c r="K398" s="90"/>
      <c r="L398" s="90"/>
      <c r="M398" s="90"/>
      <c r="N398" s="90"/>
      <c r="O398" s="90"/>
      <c r="P398" s="90"/>
      <c r="Q398" s="90"/>
      <c r="R398" s="90"/>
      <c r="S398" s="90"/>
      <c r="T398" s="90"/>
      <c r="U398" s="90"/>
      <c r="V398" s="115" t="s">
        <v>339</v>
      </c>
      <c r="W398" s="90"/>
      <c r="X398" s="1156"/>
      <c r="Y398" s="1156"/>
      <c r="Z398" s="1156"/>
      <c r="AA398" s="1156"/>
      <c r="AB398" s="1156"/>
      <c r="AC398" s="90"/>
      <c r="AD398" s="245" t="s">
        <v>854</v>
      </c>
      <c r="AE398" s="1162"/>
      <c r="AF398" s="1163"/>
      <c r="AG398" s="1163"/>
      <c r="AH398" s="1163"/>
      <c r="AI398" s="1163"/>
      <c r="AJ398" s="1163"/>
      <c r="AK398" s="1163"/>
      <c r="AL398" s="1164"/>
      <c r="AM398" s="83"/>
    </row>
    <row r="399" spans="2:39">
      <c r="B399" s="1182"/>
      <c r="C399" s="1185"/>
      <c r="D399" s="89">
        <v>30</v>
      </c>
      <c r="E399" s="154" t="s">
        <v>336</v>
      </c>
      <c r="F399" s="82"/>
      <c r="G399" s="82"/>
      <c r="H399" s="82"/>
      <c r="I399" s="82"/>
      <c r="J399" s="82"/>
      <c r="K399" s="82"/>
      <c r="L399" s="82"/>
      <c r="M399" s="82"/>
      <c r="N399" s="82"/>
      <c r="O399" s="82"/>
      <c r="P399" s="82"/>
      <c r="Q399" s="82"/>
      <c r="R399" s="82"/>
      <c r="S399" s="82"/>
      <c r="T399" s="82"/>
      <c r="U399" s="82"/>
      <c r="V399" s="107">
        <v>30</v>
      </c>
      <c r="W399" s="82"/>
      <c r="X399" s="1156"/>
      <c r="Y399" s="1156"/>
      <c r="Z399" s="1156"/>
      <c r="AA399" s="1156"/>
      <c r="AB399" s="1156"/>
      <c r="AC399" s="90"/>
      <c r="AD399" s="245" t="s">
        <v>854</v>
      </c>
      <c r="AE399" s="1165"/>
      <c r="AF399" s="1166"/>
      <c r="AG399" s="1166"/>
      <c r="AH399" s="1166"/>
      <c r="AI399" s="1166"/>
      <c r="AJ399" s="1166"/>
      <c r="AK399" s="1166"/>
      <c r="AL399" s="1167"/>
      <c r="AM399" s="83"/>
    </row>
    <row r="400" spans="2:39">
      <c r="B400" s="1182"/>
      <c r="C400" s="1185"/>
      <c r="D400" s="89">
        <v>31</v>
      </c>
      <c r="E400" s="138" t="s">
        <v>901</v>
      </c>
      <c r="F400" s="90"/>
      <c r="G400" s="90"/>
      <c r="H400" s="90"/>
      <c r="I400" s="90"/>
      <c r="J400" s="90"/>
      <c r="K400" s="90"/>
      <c r="L400" s="90"/>
      <c r="M400" s="90"/>
      <c r="N400" s="90"/>
      <c r="O400" s="90"/>
      <c r="P400" s="90"/>
      <c r="Q400" s="90"/>
      <c r="R400" s="90"/>
      <c r="S400" s="90"/>
      <c r="T400" s="90"/>
      <c r="U400" s="90"/>
      <c r="V400" s="90"/>
      <c r="W400" s="90"/>
      <c r="X400" s="90"/>
      <c r="Y400" s="90"/>
      <c r="Z400" s="90"/>
      <c r="AA400" s="90"/>
      <c r="AB400" s="90"/>
      <c r="AC400" s="90"/>
      <c r="AD400" s="90"/>
      <c r="AE400" s="115">
        <v>31</v>
      </c>
      <c r="AF400" s="91"/>
      <c r="AG400" s="1156">
        <v>0</v>
      </c>
      <c r="AH400" s="1156"/>
      <c r="AI400" s="1156"/>
      <c r="AJ400" s="1156"/>
      <c r="AK400" s="1156"/>
      <c r="AL400" s="223" t="s">
        <v>854</v>
      </c>
      <c r="AM400" s="83"/>
    </row>
    <row r="401" spans="2:39">
      <c r="B401" s="1182"/>
      <c r="C401" s="1185"/>
      <c r="D401" s="89">
        <v>32</v>
      </c>
      <c r="E401" s="138" t="s">
        <v>340</v>
      </c>
      <c r="F401" s="90"/>
      <c r="G401" s="90"/>
      <c r="H401" s="90"/>
      <c r="I401" s="90"/>
      <c r="J401" s="90"/>
      <c r="K401" s="90"/>
      <c r="L401" s="90"/>
      <c r="M401" s="90"/>
      <c r="N401" s="90"/>
      <c r="O401" s="90"/>
      <c r="P401" s="90"/>
      <c r="Q401" s="90"/>
      <c r="R401" s="90"/>
      <c r="S401" s="90"/>
      <c r="T401" s="90"/>
      <c r="U401" s="90"/>
      <c r="V401" s="90"/>
      <c r="W401" s="90"/>
      <c r="X401" s="90"/>
      <c r="Y401" s="90"/>
      <c r="Z401" s="90"/>
      <c r="AA401" s="90"/>
      <c r="AB401" s="90"/>
      <c r="AC401" s="90"/>
      <c r="AD401" s="90"/>
      <c r="AE401" s="115">
        <v>32</v>
      </c>
      <c r="AF401" s="91"/>
      <c r="AG401" s="1156">
        <v>0</v>
      </c>
      <c r="AH401" s="1156"/>
      <c r="AI401" s="1156"/>
      <c r="AJ401" s="1156"/>
      <c r="AK401" s="1156"/>
      <c r="AL401" s="223" t="s">
        <v>854</v>
      </c>
      <c r="AM401" s="83"/>
    </row>
    <row r="402" spans="2:39">
      <c r="B402" s="1182"/>
      <c r="C402" s="1185"/>
      <c r="D402" s="89">
        <v>33</v>
      </c>
      <c r="E402" s="136" t="s">
        <v>344</v>
      </c>
      <c r="AE402" s="1159"/>
      <c r="AF402" s="1160"/>
      <c r="AG402" s="1160"/>
      <c r="AH402" s="1160"/>
      <c r="AI402" s="1160"/>
      <c r="AJ402" s="1160"/>
      <c r="AK402" s="1160"/>
      <c r="AL402" s="1161"/>
      <c r="AM402" s="83"/>
    </row>
    <row r="403" spans="2:39">
      <c r="B403" s="1182"/>
      <c r="C403" s="1185"/>
      <c r="D403" s="1161"/>
      <c r="E403" s="115" t="s">
        <v>749</v>
      </c>
      <c r="F403" s="271" t="s">
        <v>345</v>
      </c>
      <c r="G403" s="90"/>
      <c r="H403" s="90"/>
      <c r="I403" s="90"/>
      <c r="J403" s="90"/>
      <c r="K403" s="90"/>
      <c r="L403" s="90"/>
      <c r="M403" s="90"/>
      <c r="N403" s="90"/>
      <c r="O403" s="90"/>
      <c r="P403" s="90"/>
      <c r="Q403" s="90"/>
      <c r="R403" s="90"/>
      <c r="S403" s="90"/>
      <c r="T403" s="90"/>
      <c r="U403" s="89"/>
      <c r="V403" s="148" t="s">
        <v>351</v>
      </c>
      <c r="W403" s="90"/>
      <c r="X403" s="1199"/>
      <c r="Y403" s="1199"/>
      <c r="Z403" s="1199"/>
      <c r="AA403" s="1199"/>
      <c r="AB403" s="1199"/>
      <c r="AC403" s="90"/>
      <c r="AD403" s="245" t="s">
        <v>854</v>
      </c>
      <c r="AE403" s="1162"/>
      <c r="AF403" s="1163"/>
      <c r="AG403" s="1163"/>
      <c r="AH403" s="1163"/>
      <c r="AI403" s="1163"/>
      <c r="AJ403" s="1163"/>
      <c r="AK403" s="1163"/>
      <c r="AL403" s="1164"/>
      <c r="AM403" s="83"/>
    </row>
    <row r="404" spans="2:39">
      <c r="B404" s="1182"/>
      <c r="C404" s="1185"/>
      <c r="D404" s="1164"/>
      <c r="E404" s="115" t="s">
        <v>764</v>
      </c>
      <c r="F404" s="276" t="s">
        <v>346</v>
      </c>
      <c r="V404" s="153" t="s">
        <v>352</v>
      </c>
      <c r="X404" s="1199"/>
      <c r="Y404" s="1199"/>
      <c r="Z404" s="1199"/>
      <c r="AA404" s="1199"/>
      <c r="AB404" s="1199"/>
      <c r="AC404" s="90"/>
      <c r="AD404" s="245" t="s">
        <v>854</v>
      </c>
      <c r="AE404" s="1162"/>
      <c r="AF404" s="1163"/>
      <c r="AG404" s="1163"/>
      <c r="AH404" s="1163"/>
      <c r="AI404" s="1163"/>
      <c r="AJ404" s="1163"/>
      <c r="AK404" s="1163"/>
      <c r="AL404" s="1164"/>
      <c r="AM404" s="83"/>
    </row>
    <row r="405" spans="2:39">
      <c r="B405" s="1182"/>
      <c r="C405" s="1185"/>
      <c r="D405" s="1164"/>
      <c r="E405" s="115" t="s">
        <v>765</v>
      </c>
      <c r="F405" s="271" t="s">
        <v>347</v>
      </c>
      <c r="G405" s="90"/>
      <c r="H405" s="90"/>
      <c r="I405" s="90"/>
      <c r="J405" s="90"/>
      <c r="K405" s="90"/>
      <c r="L405" s="90"/>
      <c r="M405" s="90"/>
      <c r="N405" s="90"/>
      <c r="O405" s="90"/>
      <c r="P405" s="90"/>
      <c r="Q405" s="90"/>
      <c r="R405" s="90"/>
      <c r="S405" s="90"/>
      <c r="T405" s="90"/>
      <c r="U405" s="89"/>
      <c r="V405" s="148" t="s">
        <v>353</v>
      </c>
      <c r="W405" s="90"/>
      <c r="X405" s="1199"/>
      <c r="Y405" s="1199"/>
      <c r="Z405" s="1199"/>
      <c r="AA405" s="1199"/>
      <c r="AB405" s="1199"/>
      <c r="AC405" s="90"/>
      <c r="AD405" s="245" t="s">
        <v>854</v>
      </c>
      <c r="AE405" s="1162"/>
      <c r="AF405" s="1163"/>
      <c r="AG405" s="1163"/>
      <c r="AH405" s="1163"/>
      <c r="AI405" s="1163"/>
      <c r="AJ405" s="1163"/>
      <c r="AK405" s="1163"/>
      <c r="AL405" s="1164"/>
      <c r="AM405" s="83"/>
    </row>
    <row r="406" spans="2:39">
      <c r="B406" s="1182"/>
      <c r="C406" s="1185"/>
      <c r="D406" s="1164"/>
      <c r="E406" s="115" t="s">
        <v>766</v>
      </c>
      <c r="F406" s="136" t="s">
        <v>348</v>
      </c>
      <c r="V406" s="153" t="s">
        <v>354</v>
      </c>
      <c r="X406" s="1156"/>
      <c r="Y406" s="1156"/>
      <c r="Z406" s="1156"/>
      <c r="AA406" s="1156"/>
      <c r="AB406" s="1156"/>
      <c r="AC406" s="90"/>
      <c r="AD406" s="245" t="s">
        <v>854</v>
      </c>
      <c r="AE406" s="1162"/>
      <c r="AF406" s="1163"/>
      <c r="AG406" s="1163"/>
      <c r="AH406" s="1163"/>
      <c r="AI406" s="1163"/>
      <c r="AJ406" s="1163"/>
      <c r="AK406" s="1163"/>
      <c r="AL406" s="1164"/>
      <c r="AM406" s="83"/>
    </row>
    <row r="407" spans="2:39">
      <c r="B407" s="1182"/>
      <c r="C407" s="1185"/>
      <c r="D407" s="1164"/>
      <c r="E407" s="115" t="s">
        <v>767</v>
      </c>
      <c r="F407" s="138" t="s">
        <v>349</v>
      </c>
      <c r="G407" s="90"/>
      <c r="H407" s="90"/>
      <c r="I407" s="90"/>
      <c r="J407" s="90"/>
      <c r="K407" s="90"/>
      <c r="L407" s="90"/>
      <c r="M407" s="90"/>
      <c r="N407" s="90"/>
      <c r="O407" s="90"/>
      <c r="P407" s="90"/>
      <c r="Q407" s="90"/>
      <c r="R407" s="90"/>
      <c r="S407" s="90"/>
      <c r="T407" s="90"/>
      <c r="U407" s="89"/>
      <c r="V407" s="148" t="s">
        <v>355</v>
      </c>
      <c r="W407" s="90"/>
      <c r="X407" s="1156"/>
      <c r="Y407" s="1156"/>
      <c r="Z407" s="1156"/>
      <c r="AA407" s="1156"/>
      <c r="AB407" s="1156"/>
      <c r="AC407" s="90"/>
      <c r="AD407" s="245" t="s">
        <v>854</v>
      </c>
      <c r="AE407" s="1162"/>
      <c r="AF407" s="1163"/>
      <c r="AG407" s="1163"/>
      <c r="AH407" s="1163"/>
      <c r="AI407" s="1163"/>
      <c r="AJ407" s="1163"/>
      <c r="AK407" s="1163"/>
      <c r="AL407" s="1164"/>
      <c r="AM407" s="83"/>
    </row>
    <row r="408" spans="2:39">
      <c r="B408" s="1183"/>
      <c r="C408" s="1186"/>
      <c r="D408" s="1167"/>
      <c r="E408" s="115" t="s">
        <v>803</v>
      </c>
      <c r="F408" s="138" t="s">
        <v>350</v>
      </c>
      <c r="G408" s="90"/>
      <c r="H408" s="90"/>
      <c r="I408" s="90"/>
      <c r="J408" s="90"/>
      <c r="K408" s="90"/>
      <c r="L408" s="90"/>
      <c r="M408" s="90"/>
      <c r="N408" s="90"/>
      <c r="O408" s="90"/>
      <c r="P408" s="90"/>
      <c r="Q408" s="90"/>
      <c r="R408" s="90"/>
      <c r="S408" s="90"/>
      <c r="T408" s="90"/>
      <c r="U408" s="89"/>
      <c r="V408" s="148" t="s">
        <v>356</v>
      </c>
      <c r="W408" s="90"/>
      <c r="X408" s="1156"/>
      <c r="Y408" s="1156"/>
      <c r="Z408" s="1156"/>
      <c r="AA408" s="1156"/>
      <c r="AB408" s="1156"/>
      <c r="AC408" s="90"/>
      <c r="AD408" s="245" t="s">
        <v>854</v>
      </c>
      <c r="AE408" s="1165"/>
      <c r="AF408" s="1166"/>
      <c r="AG408" s="1166"/>
      <c r="AH408" s="1166"/>
      <c r="AI408" s="1166"/>
      <c r="AJ408" s="1166"/>
      <c r="AK408" s="1166"/>
      <c r="AL408" s="1167"/>
      <c r="AM408" s="83"/>
    </row>
    <row r="409" spans="2:39" ht="12.75">
      <c r="AE409" s="125" t="s">
        <v>492</v>
      </c>
      <c r="AF409" s="1168" t="s">
        <v>907</v>
      </c>
      <c r="AG409" s="1168"/>
      <c r="AH409" s="1168"/>
      <c r="AI409" s="1168"/>
      <c r="AJ409" s="132" t="s">
        <v>897</v>
      </c>
      <c r="AK409" s="131"/>
      <c r="AL409" s="133">
        <v>9.06</v>
      </c>
    </row>
    <row r="410" spans="2:39">
      <c r="B410" s="1161"/>
      <c r="C410" s="88"/>
      <c r="D410" s="81"/>
      <c r="E410" s="148" t="s">
        <v>804</v>
      </c>
      <c r="F410" s="140" t="s">
        <v>357</v>
      </c>
      <c r="G410" s="90"/>
      <c r="H410" s="90"/>
      <c r="I410" s="90"/>
      <c r="J410" s="90"/>
      <c r="K410" s="90"/>
      <c r="L410" s="90"/>
      <c r="M410" s="90"/>
      <c r="N410" s="90"/>
      <c r="O410" s="90"/>
      <c r="P410" s="90"/>
      <c r="Q410" s="90"/>
      <c r="R410" s="90"/>
      <c r="S410" s="90"/>
      <c r="T410" s="90"/>
      <c r="U410" s="90"/>
      <c r="V410" s="199" t="s">
        <v>526</v>
      </c>
      <c r="W410" s="90"/>
      <c r="X410" s="1156"/>
      <c r="Y410" s="1156"/>
      <c r="Z410" s="1156"/>
      <c r="AA410" s="1156"/>
      <c r="AB410" s="1156"/>
      <c r="AC410" s="90"/>
      <c r="AD410" s="245" t="s">
        <v>854</v>
      </c>
      <c r="AE410" s="1159"/>
      <c r="AF410" s="1160"/>
      <c r="AG410" s="1160"/>
      <c r="AH410" s="1160"/>
      <c r="AI410" s="1160"/>
      <c r="AJ410" s="1160"/>
      <c r="AK410" s="1160"/>
      <c r="AL410" s="1161"/>
      <c r="AM410" s="83"/>
    </row>
    <row r="411" spans="2:39" ht="12.75">
      <c r="B411" s="1164"/>
      <c r="C411" s="1215"/>
      <c r="D411" s="1164"/>
      <c r="E411" s="148" t="s">
        <v>358</v>
      </c>
      <c r="F411" s="140" t="s">
        <v>359</v>
      </c>
      <c r="G411" s="90"/>
      <c r="H411" s="90"/>
      <c r="I411" s="90"/>
      <c r="J411" s="90"/>
      <c r="K411" s="90"/>
      <c r="L411" s="90"/>
      <c r="M411" s="90"/>
      <c r="N411" s="90"/>
      <c r="O411" s="90"/>
      <c r="P411" s="90"/>
      <c r="Q411" s="90"/>
      <c r="R411" s="90"/>
      <c r="S411" s="90"/>
      <c r="T411" s="90"/>
      <c r="U411" s="89"/>
      <c r="V411" s="264" t="s">
        <v>878</v>
      </c>
      <c r="W411" s="90"/>
      <c r="X411" s="1156"/>
      <c r="Y411" s="1156"/>
      <c r="Z411" s="1156"/>
      <c r="AA411" s="1156"/>
      <c r="AB411" s="1156"/>
      <c r="AC411" s="90"/>
      <c r="AD411" s="245" t="s">
        <v>854</v>
      </c>
      <c r="AE411" s="1162"/>
      <c r="AF411" s="1163"/>
      <c r="AG411" s="1163"/>
      <c r="AH411" s="1163"/>
      <c r="AI411" s="1163"/>
      <c r="AJ411" s="1163"/>
      <c r="AK411" s="1163"/>
      <c r="AL411" s="1164"/>
      <c r="AM411" s="83"/>
    </row>
    <row r="412" spans="2:39">
      <c r="B412" s="1164"/>
      <c r="C412" s="1215"/>
      <c r="D412" s="1164"/>
      <c r="E412" s="148" t="s">
        <v>806</v>
      </c>
      <c r="F412" s="152" t="s">
        <v>360</v>
      </c>
      <c r="V412" s="239" t="s">
        <v>361</v>
      </c>
      <c r="X412" s="1156"/>
      <c r="Y412" s="1156"/>
      <c r="Z412" s="1156"/>
      <c r="AA412" s="1156"/>
      <c r="AB412" s="1156"/>
      <c r="AC412" s="90"/>
      <c r="AD412" s="245" t="s">
        <v>854</v>
      </c>
      <c r="AE412" s="1162"/>
      <c r="AF412" s="1163"/>
      <c r="AG412" s="1163"/>
      <c r="AH412" s="1163"/>
      <c r="AI412" s="1163"/>
      <c r="AJ412" s="1163"/>
      <c r="AK412" s="1163"/>
      <c r="AL412" s="1164"/>
      <c r="AM412" s="83"/>
    </row>
    <row r="413" spans="2:39">
      <c r="B413" s="1164"/>
      <c r="C413" s="1215"/>
      <c r="D413" s="1164"/>
      <c r="E413" s="148" t="s">
        <v>807</v>
      </c>
      <c r="F413" s="140" t="s">
        <v>877</v>
      </c>
      <c r="G413" s="90"/>
      <c r="H413" s="90"/>
      <c r="I413" s="90"/>
      <c r="J413" s="90"/>
      <c r="K413" s="90"/>
      <c r="L413" s="90"/>
      <c r="M413" s="90"/>
      <c r="N413" s="90"/>
      <c r="O413" s="90"/>
      <c r="P413" s="90"/>
      <c r="Q413" s="90"/>
      <c r="R413" s="90"/>
      <c r="S413" s="90"/>
      <c r="T413" s="90"/>
      <c r="U413" s="89"/>
      <c r="V413" s="199" t="s">
        <v>362</v>
      </c>
      <c r="W413" s="90"/>
      <c r="X413" s="1156"/>
      <c r="Y413" s="1156"/>
      <c r="Z413" s="1156"/>
      <c r="AA413" s="1156"/>
      <c r="AB413" s="1156"/>
      <c r="AC413" s="90"/>
      <c r="AD413" s="245" t="s">
        <v>854</v>
      </c>
      <c r="AE413" s="1162"/>
      <c r="AF413" s="1163"/>
      <c r="AG413" s="1163"/>
      <c r="AH413" s="1163"/>
      <c r="AI413" s="1163"/>
      <c r="AJ413" s="1163"/>
      <c r="AK413" s="1163"/>
      <c r="AL413" s="1164"/>
      <c r="AM413" s="83"/>
    </row>
    <row r="414" spans="2:39">
      <c r="B414" s="1164"/>
      <c r="C414" s="1215"/>
      <c r="D414" s="1164"/>
      <c r="E414" s="148" t="s">
        <v>808</v>
      </c>
      <c r="F414" s="152" t="s">
        <v>363</v>
      </c>
      <c r="U414" s="84"/>
      <c r="V414" s="239" t="s">
        <v>364</v>
      </c>
      <c r="X414" s="1156"/>
      <c r="Y414" s="1156"/>
      <c r="Z414" s="1156"/>
      <c r="AA414" s="1156"/>
      <c r="AB414" s="1156"/>
      <c r="AC414" s="90"/>
      <c r="AD414" s="245" t="s">
        <v>854</v>
      </c>
      <c r="AE414" s="1165"/>
      <c r="AF414" s="1166"/>
      <c r="AG414" s="1166"/>
      <c r="AH414" s="1166"/>
      <c r="AI414" s="1166"/>
      <c r="AJ414" s="1166"/>
      <c r="AK414" s="1166"/>
      <c r="AL414" s="1167"/>
      <c r="AM414" s="83"/>
    </row>
    <row r="415" spans="2:39">
      <c r="B415" s="1164"/>
      <c r="C415" s="1215"/>
      <c r="D415" s="1167"/>
      <c r="E415" s="148" t="s">
        <v>809</v>
      </c>
      <c r="F415" s="138" t="s">
        <v>365</v>
      </c>
      <c r="G415" s="90"/>
      <c r="H415" s="90"/>
      <c r="I415" s="90"/>
      <c r="J415" s="90"/>
      <c r="K415" s="90"/>
      <c r="L415" s="90"/>
      <c r="M415" s="90"/>
      <c r="N415" s="90"/>
      <c r="O415" s="90"/>
      <c r="P415" s="90"/>
      <c r="Q415" s="90"/>
      <c r="R415" s="90"/>
      <c r="S415" s="90"/>
      <c r="T415" s="90"/>
      <c r="U415" s="90"/>
      <c r="V415" s="90"/>
      <c r="W415" s="90"/>
      <c r="X415" s="90"/>
      <c r="Y415" s="90"/>
      <c r="Z415" s="90"/>
      <c r="AA415" s="90"/>
      <c r="AB415" s="90"/>
      <c r="AC415" s="90"/>
      <c r="AD415" s="89"/>
      <c r="AE415" s="199" t="s">
        <v>366</v>
      </c>
      <c r="AF415" s="91"/>
      <c r="AG415" s="1156">
        <v>0</v>
      </c>
      <c r="AH415" s="1156"/>
      <c r="AI415" s="1156"/>
      <c r="AJ415" s="1156"/>
      <c r="AK415" s="1156"/>
      <c r="AL415" s="223" t="s">
        <v>854</v>
      </c>
      <c r="AM415" s="83"/>
    </row>
    <row r="416" spans="2:39">
      <c r="B416" s="1164"/>
      <c r="C416" s="1215"/>
      <c r="D416" s="213">
        <v>34</v>
      </c>
      <c r="E416" s="154" t="s">
        <v>367</v>
      </c>
      <c r="F416" s="136"/>
      <c r="AE416" s="99">
        <v>34</v>
      </c>
      <c r="AG416" s="1156">
        <v>0</v>
      </c>
      <c r="AH416" s="1156"/>
      <c r="AI416" s="1156"/>
      <c r="AJ416" s="1156"/>
      <c r="AK416" s="1156"/>
      <c r="AL416" s="223" t="s">
        <v>854</v>
      </c>
      <c r="AM416" s="83"/>
    </row>
    <row r="417" spans="2:39">
      <c r="B417" s="1164"/>
      <c r="C417" s="1215"/>
      <c r="D417" s="151">
        <v>35</v>
      </c>
      <c r="E417" s="138" t="s">
        <v>368</v>
      </c>
      <c r="F417" s="150"/>
      <c r="G417" s="90"/>
      <c r="H417" s="90"/>
      <c r="I417" s="90"/>
      <c r="J417" s="90"/>
      <c r="K417" s="90"/>
      <c r="L417" s="90"/>
      <c r="M417" s="90"/>
      <c r="N417" s="90"/>
      <c r="O417" s="90"/>
      <c r="P417" s="90"/>
      <c r="Q417" s="90"/>
      <c r="R417" s="90"/>
      <c r="S417" s="90"/>
      <c r="T417" s="90"/>
      <c r="U417" s="90"/>
      <c r="V417" s="90"/>
      <c r="W417" s="90"/>
      <c r="X417" s="90"/>
      <c r="Y417" s="90"/>
      <c r="Z417" s="90"/>
      <c r="AA417" s="90"/>
      <c r="AB417" s="90"/>
      <c r="AC417" s="90"/>
      <c r="AD417" s="90"/>
      <c r="AE417" s="1159"/>
      <c r="AF417" s="1160"/>
      <c r="AG417" s="1160"/>
      <c r="AH417" s="1160"/>
      <c r="AI417" s="1160"/>
      <c r="AJ417" s="1160"/>
      <c r="AK417" s="1160"/>
      <c r="AL417" s="1161"/>
      <c r="AM417" s="83"/>
    </row>
    <row r="418" spans="2:39">
      <c r="B418" s="1164"/>
      <c r="C418" s="1215"/>
      <c r="D418" s="1226"/>
      <c r="E418" s="145" t="s">
        <v>749</v>
      </c>
      <c r="F418" s="152" t="s">
        <v>432</v>
      </c>
      <c r="V418" s="148" t="s">
        <v>607</v>
      </c>
      <c r="W418" s="90"/>
      <c r="X418" s="1156"/>
      <c r="Y418" s="1156"/>
      <c r="Z418" s="1156"/>
      <c r="AA418" s="1156"/>
      <c r="AB418" s="1156"/>
      <c r="AC418" s="90"/>
      <c r="AD418" s="245" t="s">
        <v>854</v>
      </c>
      <c r="AE418" s="1162"/>
      <c r="AF418" s="1163"/>
      <c r="AG418" s="1163"/>
      <c r="AH418" s="1163"/>
      <c r="AI418" s="1163"/>
      <c r="AJ418" s="1163"/>
      <c r="AK418" s="1163"/>
      <c r="AL418" s="1164"/>
      <c r="AM418" s="83"/>
    </row>
    <row r="419" spans="2:39">
      <c r="B419" s="1164"/>
      <c r="C419" s="1215"/>
      <c r="D419" s="1227"/>
      <c r="E419" s="148" t="s">
        <v>764</v>
      </c>
      <c r="F419" s="140" t="s">
        <v>433</v>
      </c>
      <c r="G419" s="90"/>
      <c r="H419" s="90"/>
      <c r="I419" s="90"/>
      <c r="J419" s="90"/>
      <c r="K419" s="90"/>
      <c r="L419" s="90"/>
      <c r="M419" s="90"/>
      <c r="N419" s="90"/>
      <c r="O419" s="90"/>
      <c r="P419" s="90"/>
      <c r="Q419" s="90"/>
      <c r="R419" s="90"/>
      <c r="S419" s="90"/>
      <c r="T419" s="90"/>
      <c r="U419" s="90"/>
      <c r="V419" s="153" t="s">
        <v>608</v>
      </c>
      <c r="X419" s="1156"/>
      <c r="Y419" s="1156"/>
      <c r="Z419" s="1156"/>
      <c r="AA419" s="1156"/>
      <c r="AB419" s="1156"/>
      <c r="AC419" s="90"/>
      <c r="AD419" s="245" t="s">
        <v>854</v>
      </c>
      <c r="AE419" s="1162"/>
      <c r="AF419" s="1163"/>
      <c r="AG419" s="1163"/>
      <c r="AH419" s="1163"/>
      <c r="AI419" s="1163"/>
      <c r="AJ419" s="1163"/>
      <c r="AK419" s="1163"/>
      <c r="AL419" s="1164"/>
      <c r="AM419" s="83"/>
    </row>
    <row r="420" spans="2:39">
      <c r="B420" s="1164"/>
      <c r="C420" s="1215"/>
      <c r="D420" s="1227"/>
      <c r="E420" s="148" t="s">
        <v>765</v>
      </c>
      <c r="F420" s="152" t="s">
        <v>434</v>
      </c>
      <c r="V420" s="148" t="s">
        <v>609</v>
      </c>
      <c r="W420" s="90"/>
      <c r="X420" s="1156"/>
      <c r="Y420" s="1156"/>
      <c r="Z420" s="1156"/>
      <c r="AA420" s="1156"/>
      <c r="AB420" s="1156"/>
      <c r="AC420" s="90"/>
      <c r="AD420" s="245" t="s">
        <v>854</v>
      </c>
      <c r="AE420" s="1162"/>
      <c r="AF420" s="1163"/>
      <c r="AG420" s="1163"/>
      <c r="AH420" s="1163"/>
      <c r="AI420" s="1163"/>
      <c r="AJ420" s="1163"/>
      <c r="AK420" s="1163"/>
      <c r="AL420" s="1164"/>
      <c r="AM420" s="83"/>
    </row>
    <row r="421" spans="2:39">
      <c r="B421" s="1164"/>
      <c r="C421" s="1215"/>
      <c r="D421" s="1227"/>
      <c r="E421" s="148" t="s">
        <v>766</v>
      </c>
      <c r="F421" s="140" t="s">
        <v>435</v>
      </c>
      <c r="G421" s="90"/>
      <c r="H421" s="90"/>
      <c r="I421" s="90"/>
      <c r="J421" s="90"/>
      <c r="K421" s="90"/>
      <c r="L421" s="90"/>
      <c r="M421" s="90"/>
      <c r="N421" s="90"/>
      <c r="O421" s="90"/>
      <c r="P421" s="90"/>
      <c r="Q421" s="90"/>
      <c r="R421" s="90"/>
      <c r="S421" s="90"/>
      <c r="T421" s="90"/>
      <c r="U421" s="90"/>
      <c r="V421" s="153" t="s">
        <v>610</v>
      </c>
      <c r="X421" s="1156"/>
      <c r="Y421" s="1156"/>
      <c r="Z421" s="1156"/>
      <c r="AA421" s="1156"/>
      <c r="AB421" s="1156"/>
      <c r="AC421" s="90"/>
      <c r="AD421" s="245" t="s">
        <v>854</v>
      </c>
      <c r="AE421" s="1165"/>
      <c r="AF421" s="1166"/>
      <c r="AG421" s="1166"/>
      <c r="AH421" s="1166"/>
      <c r="AI421" s="1166"/>
      <c r="AJ421" s="1166"/>
      <c r="AK421" s="1166"/>
      <c r="AL421" s="1167"/>
      <c r="AM421" s="83"/>
    </row>
    <row r="422" spans="2:39">
      <c r="B422" s="1164"/>
      <c r="C422" s="1215"/>
      <c r="D422" s="1228"/>
      <c r="E422" s="148" t="s">
        <v>802</v>
      </c>
      <c r="F422" s="138" t="s">
        <v>369</v>
      </c>
      <c r="G422" s="90"/>
      <c r="H422" s="90"/>
      <c r="I422" s="90"/>
      <c r="J422" s="90"/>
      <c r="K422" s="90"/>
      <c r="L422" s="90"/>
      <c r="M422" s="90"/>
      <c r="N422" s="90"/>
      <c r="O422" s="90"/>
      <c r="P422" s="90"/>
      <c r="Q422" s="90"/>
      <c r="R422" s="90"/>
      <c r="S422" s="90"/>
      <c r="T422" s="90"/>
      <c r="U422" s="1202"/>
      <c r="V422" s="1202"/>
      <c r="W422" s="1202"/>
      <c r="X422" s="1202"/>
      <c r="Y422" s="1202"/>
      <c r="Z422" s="1202"/>
      <c r="AA422" s="1202"/>
      <c r="AB422" s="1202"/>
      <c r="AC422" s="1202"/>
      <c r="AD422" s="1201"/>
      <c r="AE422" s="115" t="s">
        <v>370</v>
      </c>
      <c r="AF422" s="91"/>
      <c r="AG422" s="1156">
        <v>0</v>
      </c>
      <c r="AH422" s="1156"/>
      <c r="AI422" s="1156"/>
      <c r="AJ422" s="1156"/>
      <c r="AK422" s="1156"/>
      <c r="AL422" s="223" t="s">
        <v>854</v>
      </c>
      <c r="AM422" s="83"/>
    </row>
    <row r="423" spans="2:39">
      <c r="B423" s="1164"/>
      <c r="C423" s="1215"/>
      <c r="D423" s="151">
        <v>36</v>
      </c>
      <c r="E423" s="138" t="s">
        <v>371</v>
      </c>
      <c r="F423" s="150"/>
      <c r="G423" s="90"/>
      <c r="H423" s="90"/>
      <c r="I423" s="90"/>
      <c r="J423" s="90"/>
      <c r="K423" s="90"/>
      <c r="L423" s="90"/>
      <c r="M423" s="90"/>
      <c r="N423" s="90"/>
      <c r="O423" s="90"/>
      <c r="P423" s="90"/>
      <c r="Q423" s="90"/>
      <c r="R423" s="90"/>
      <c r="S423" s="90"/>
      <c r="T423" s="90"/>
      <c r="U423" s="90"/>
      <c r="V423" s="90"/>
      <c r="W423" s="90"/>
      <c r="X423" s="90"/>
      <c r="Y423" s="90"/>
      <c r="Z423" s="90"/>
      <c r="AA423" s="90"/>
      <c r="AB423" s="90"/>
      <c r="AC423" s="90"/>
      <c r="AD423" s="90"/>
      <c r="AE423" s="115">
        <v>36</v>
      </c>
      <c r="AF423" s="91"/>
      <c r="AG423" s="1156">
        <v>0</v>
      </c>
      <c r="AH423" s="1156"/>
      <c r="AI423" s="1156"/>
      <c r="AJ423" s="1156"/>
      <c r="AK423" s="1156"/>
      <c r="AL423" s="223" t="s">
        <v>854</v>
      </c>
      <c r="AM423" s="83"/>
    </row>
    <row r="424" spans="2:39">
      <c r="B424" s="1164"/>
      <c r="C424" s="1216"/>
      <c r="D424" s="151">
        <v>37</v>
      </c>
      <c r="E424" s="138" t="s">
        <v>372</v>
      </c>
      <c r="F424" s="150"/>
      <c r="G424" s="90"/>
      <c r="H424" s="90"/>
      <c r="I424" s="90"/>
      <c r="J424" s="90"/>
      <c r="K424" s="90"/>
      <c r="L424" s="90"/>
      <c r="M424" s="90"/>
      <c r="N424" s="90"/>
      <c r="O424" s="90"/>
      <c r="P424" s="90"/>
      <c r="Q424" s="90"/>
      <c r="R424" s="90"/>
      <c r="S424" s="90"/>
      <c r="T424" s="90"/>
      <c r="U424" s="90"/>
      <c r="V424" s="90"/>
      <c r="W424" s="90"/>
      <c r="X424" s="90"/>
      <c r="Y424" s="90"/>
      <c r="Z424" s="90"/>
      <c r="AA424" s="90"/>
      <c r="AB424" s="90"/>
      <c r="AC424" s="90"/>
      <c r="AD424" s="90"/>
      <c r="AE424" s="104" t="s">
        <v>373</v>
      </c>
      <c r="AF424" s="91"/>
      <c r="AG424" s="1156">
        <v>0</v>
      </c>
      <c r="AH424" s="1156"/>
      <c r="AI424" s="1156"/>
      <c r="AJ424" s="1156"/>
      <c r="AK424" s="1156"/>
      <c r="AL424" s="223" t="s">
        <v>854</v>
      </c>
      <c r="AM424" s="83"/>
    </row>
    <row r="425" spans="2:39">
      <c r="B425" s="1164"/>
      <c r="C425" s="145" t="s">
        <v>797</v>
      </c>
      <c r="D425" s="138" t="s">
        <v>374</v>
      </c>
      <c r="E425" s="150"/>
      <c r="F425" s="90"/>
      <c r="G425" s="90"/>
      <c r="H425" s="90"/>
      <c r="I425" s="90"/>
      <c r="J425" s="90"/>
      <c r="K425" s="90"/>
      <c r="L425" s="90"/>
      <c r="M425" s="90"/>
      <c r="N425" s="90"/>
      <c r="O425" s="90"/>
      <c r="P425" s="90"/>
      <c r="Q425" s="90"/>
      <c r="R425" s="90"/>
      <c r="S425" s="90"/>
      <c r="T425" s="90"/>
      <c r="U425" s="90"/>
      <c r="V425" s="90"/>
      <c r="W425" s="90"/>
      <c r="X425" s="90"/>
      <c r="Y425" s="90"/>
      <c r="Z425" s="90"/>
      <c r="AA425" s="90"/>
      <c r="AB425" s="90"/>
      <c r="AC425" s="90"/>
      <c r="AD425" s="90"/>
      <c r="AE425" s="90"/>
      <c r="AF425" s="91"/>
      <c r="AG425" s="265"/>
      <c r="AH425" s="265"/>
      <c r="AI425" s="265"/>
      <c r="AJ425" s="265"/>
      <c r="AK425" s="265"/>
      <c r="AL425" s="89"/>
      <c r="AM425" s="83"/>
    </row>
    <row r="426" spans="2:39">
      <c r="B426" s="1164"/>
      <c r="C426" s="1217"/>
      <c r="D426" s="144">
        <v>38</v>
      </c>
      <c r="E426" s="202" t="s">
        <v>375</v>
      </c>
      <c r="AE426" s="153">
        <v>38</v>
      </c>
      <c r="AG426" s="1156"/>
      <c r="AH426" s="1156"/>
      <c r="AI426" s="1156"/>
      <c r="AJ426" s="1156"/>
      <c r="AK426" s="1156"/>
      <c r="AL426" s="223" t="s">
        <v>854</v>
      </c>
      <c r="AM426" s="83"/>
    </row>
    <row r="427" spans="2:39">
      <c r="B427" s="1164"/>
      <c r="C427" s="1218"/>
      <c r="D427" s="140">
        <v>39</v>
      </c>
      <c r="E427" s="138" t="s">
        <v>376</v>
      </c>
      <c r="F427" s="90"/>
      <c r="G427" s="90"/>
      <c r="H427" s="90"/>
      <c r="I427" s="90"/>
      <c r="J427" s="90"/>
      <c r="K427" s="90"/>
      <c r="L427" s="90"/>
      <c r="M427" s="90"/>
      <c r="N427" s="90"/>
      <c r="O427" s="90"/>
      <c r="P427" s="90"/>
      <c r="Q427" s="90"/>
      <c r="R427" s="90"/>
      <c r="S427" s="90"/>
      <c r="T427" s="90"/>
      <c r="U427" s="90"/>
      <c r="V427" s="90"/>
      <c r="W427" s="90"/>
      <c r="X427" s="90"/>
      <c r="Y427" s="90"/>
      <c r="Z427" s="90"/>
      <c r="AA427" s="90"/>
      <c r="AB427" s="90"/>
      <c r="AC427" s="90"/>
      <c r="AD427" s="90"/>
      <c r="AE427" s="148">
        <v>39</v>
      </c>
      <c r="AF427" s="91"/>
      <c r="AG427" s="1156"/>
      <c r="AH427" s="1156"/>
      <c r="AI427" s="1156"/>
      <c r="AJ427" s="1156"/>
      <c r="AK427" s="1156"/>
      <c r="AL427" s="223" t="s">
        <v>854</v>
      </c>
      <c r="AM427" s="83"/>
    </row>
    <row r="428" spans="2:39">
      <c r="B428" s="1164"/>
      <c r="C428" s="1218"/>
      <c r="D428" s="140">
        <v>40</v>
      </c>
      <c r="E428" s="202" t="s">
        <v>377</v>
      </c>
      <c r="AE428" s="153">
        <v>40</v>
      </c>
      <c r="AG428" s="1156"/>
      <c r="AH428" s="1156"/>
      <c r="AI428" s="1156"/>
      <c r="AJ428" s="1156"/>
      <c r="AK428" s="1156"/>
      <c r="AL428" s="223" t="s">
        <v>854</v>
      </c>
      <c r="AM428" s="83"/>
    </row>
    <row r="429" spans="2:39">
      <c r="B429" s="1164"/>
      <c r="C429" s="1219"/>
      <c r="D429" s="140">
        <v>41</v>
      </c>
      <c r="E429" s="138" t="s">
        <v>378</v>
      </c>
      <c r="F429" s="90"/>
      <c r="G429" s="90"/>
      <c r="H429" s="90"/>
      <c r="I429" s="90"/>
      <c r="J429" s="90"/>
      <c r="K429" s="90"/>
      <c r="L429" s="90"/>
      <c r="M429" s="90"/>
      <c r="N429" s="90"/>
      <c r="O429" s="90"/>
      <c r="P429" s="90"/>
      <c r="Q429" s="90"/>
      <c r="R429" s="90"/>
      <c r="S429" s="90"/>
      <c r="T429" s="90"/>
      <c r="U429" s="90"/>
      <c r="V429" s="90"/>
      <c r="W429" s="90"/>
      <c r="X429" s="90"/>
      <c r="Y429" s="90"/>
      <c r="Z429" s="90"/>
      <c r="AA429" s="90"/>
      <c r="AB429" s="90"/>
      <c r="AC429" s="90"/>
      <c r="AD429" s="90"/>
      <c r="AE429" s="148" t="s">
        <v>379</v>
      </c>
      <c r="AF429" s="91"/>
      <c r="AG429" s="1156">
        <v>0</v>
      </c>
      <c r="AH429" s="1156"/>
      <c r="AI429" s="1156"/>
      <c r="AJ429" s="1156"/>
      <c r="AK429" s="1156"/>
      <c r="AL429" s="223" t="s">
        <v>854</v>
      </c>
      <c r="AM429" s="83"/>
    </row>
    <row r="430" spans="2:39">
      <c r="B430" s="1167"/>
      <c r="C430" s="143" t="s">
        <v>800</v>
      </c>
      <c r="D430" s="138" t="s">
        <v>380</v>
      </c>
      <c r="E430" s="171"/>
      <c r="AE430" s="145" t="s">
        <v>800</v>
      </c>
      <c r="AG430" s="1156">
        <v>0</v>
      </c>
      <c r="AH430" s="1156"/>
      <c r="AI430" s="1156"/>
      <c r="AJ430" s="1156"/>
      <c r="AK430" s="1156"/>
      <c r="AL430" s="223" t="s">
        <v>854</v>
      </c>
      <c r="AM430" s="83"/>
    </row>
    <row r="431" spans="2:39" ht="12.75">
      <c r="B431" s="119" t="s">
        <v>763</v>
      </c>
      <c r="C431" s="118"/>
      <c r="D431" s="118"/>
      <c r="E431" s="200" t="s">
        <v>790</v>
      </c>
      <c r="F431" s="189"/>
      <c r="G431" s="189"/>
      <c r="H431" s="189"/>
      <c r="I431" s="189"/>
      <c r="J431" s="189"/>
      <c r="K431" s="189"/>
      <c r="L431" s="189"/>
      <c r="M431" s="189"/>
      <c r="N431" s="189"/>
      <c r="O431" s="189"/>
      <c r="P431" s="189"/>
      <c r="Q431" s="189"/>
      <c r="R431" s="189"/>
      <c r="S431" s="189"/>
      <c r="T431" s="189"/>
      <c r="U431" s="189"/>
      <c r="V431" s="189"/>
      <c r="W431" s="189"/>
      <c r="X431" s="189"/>
      <c r="Y431" s="189"/>
      <c r="Z431" s="189"/>
      <c r="AA431" s="189"/>
      <c r="AB431" s="189"/>
      <c r="AC431" s="189"/>
      <c r="AD431" s="189"/>
      <c r="AE431" s="189"/>
      <c r="AF431" s="189"/>
      <c r="AG431" s="189"/>
      <c r="AH431" s="189"/>
      <c r="AI431" s="189"/>
      <c r="AJ431" s="189"/>
      <c r="AK431" s="189"/>
      <c r="AL431" s="90"/>
      <c r="AM431" s="83"/>
    </row>
    <row r="433" spans="2:39" ht="12.75">
      <c r="B433" s="1232" t="s">
        <v>527</v>
      </c>
      <c r="C433" s="1233"/>
      <c r="D433" s="1233"/>
      <c r="E433" s="1233"/>
      <c r="F433" s="1233"/>
      <c r="G433" s="136" t="s">
        <v>528</v>
      </c>
      <c r="H433" s="136"/>
      <c r="I433" s="136"/>
      <c r="J433" s="136"/>
      <c r="K433" s="136"/>
      <c r="L433" s="136"/>
      <c r="M433" s="136"/>
      <c r="N433" s="136"/>
      <c r="O433" s="136"/>
      <c r="P433" s="136"/>
      <c r="Q433" s="136"/>
      <c r="R433" s="136"/>
      <c r="S433" s="136"/>
      <c r="T433" s="136"/>
      <c r="U433" s="136"/>
      <c r="V433" s="136"/>
      <c r="W433" s="136"/>
      <c r="X433" s="136"/>
      <c r="Y433" s="136"/>
      <c r="Z433" s="136"/>
      <c r="AA433" s="136"/>
      <c r="AB433" s="136"/>
      <c r="AC433" s="136"/>
      <c r="AD433" s="136"/>
      <c r="AE433" s="136"/>
      <c r="AF433" s="136"/>
      <c r="AJ433" s="130" t="s">
        <v>849</v>
      </c>
    </row>
    <row r="434" spans="2:39" ht="15" customHeight="1">
      <c r="B434" s="1181" t="s">
        <v>120</v>
      </c>
      <c r="C434" s="110">
        <v>1</v>
      </c>
      <c r="D434" s="1223" t="s">
        <v>529</v>
      </c>
      <c r="E434" s="1224"/>
      <c r="F434" s="1224"/>
      <c r="G434" s="1224"/>
      <c r="H434" s="1224"/>
      <c r="I434" s="1224"/>
      <c r="J434" s="1224"/>
      <c r="K434" s="1224"/>
      <c r="L434" s="1224"/>
      <c r="M434" s="1224"/>
      <c r="N434" s="1224"/>
      <c r="O434" s="1224"/>
      <c r="P434" s="1224"/>
      <c r="Q434" s="1224"/>
      <c r="R434" s="1225"/>
      <c r="S434" s="1308" t="s">
        <v>530</v>
      </c>
      <c r="T434" s="1309"/>
      <c r="U434" s="1309"/>
      <c r="V434" s="1309"/>
      <c r="W434" s="1309"/>
      <c r="X434" s="1309"/>
      <c r="Y434" s="1309"/>
      <c r="Z434" s="1309"/>
      <c r="AA434" s="1309"/>
      <c r="AB434" s="1309"/>
      <c r="AC434" s="1309"/>
      <c r="AD434" s="1309"/>
      <c r="AE434" s="1309"/>
      <c r="AF434" s="1309"/>
      <c r="AG434" s="1309"/>
      <c r="AH434" s="1309"/>
      <c r="AI434" s="1309"/>
      <c r="AJ434" s="1309"/>
      <c r="AK434" s="1309"/>
      <c r="AL434" s="1309"/>
      <c r="AM434" s="83"/>
    </row>
    <row r="435" spans="2:39" ht="12" customHeight="1">
      <c r="B435" s="1182"/>
      <c r="C435" s="1229">
        <v>2</v>
      </c>
      <c r="D435" s="1234" t="s">
        <v>382</v>
      </c>
      <c r="E435" s="1235"/>
      <c r="F435" s="1235"/>
      <c r="G435" s="1235"/>
      <c r="H435" s="1235"/>
      <c r="I435" s="1235"/>
      <c r="J435" s="1235"/>
      <c r="K435" s="1235"/>
      <c r="L435" s="1235"/>
      <c r="M435" s="1235"/>
      <c r="N435" s="1235"/>
      <c r="O435" s="1235"/>
      <c r="P435" s="1235"/>
      <c r="Q435" s="1235"/>
      <c r="R435" s="1236"/>
      <c r="S435" s="1200">
        <v>15</v>
      </c>
      <c r="T435" s="1202"/>
      <c r="U435" s="1201"/>
      <c r="V435" s="1200">
        <v>30</v>
      </c>
      <c r="W435" s="1202"/>
      <c r="X435" s="1201"/>
      <c r="Y435" s="1202">
        <v>40</v>
      </c>
      <c r="Z435" s="1202"/>
      <c r="AA435" s="1202"/>
      <c r="AB435" s="1200">
        <v>50</v>
      </c>
      <c r="AC435" s="1202"/>
      <c r="AD435" s="1201"/>
      <c r="AE435" s="1202">
        <v>60</v>
      </c>
      <c r="AF435" s="1202"/>
      <c r="AG435" s="1200">
        <v>80</v>
      </c>
      <c r="AH435" s="1202"/>
      <c r="AI435" s="1201"/>
      <c r="AJ435" s="1200">
        <v>100</v>
      </c>
      <c r="AK435" s="1202"/>
      <c r="AL435" s="1202"/>
      <c r="AM435" s="83"/>
    </row>
    <row r="436" spans="2:39" ht="12" customHeight="1">
      <c r="B436" s="1182"/>
      <c r="C436" s="1230"/>
      <c r="D436" s="1237"/>
      <c r="E436" s="1238"/>
      <c r="F436" s="1238"/>
      <c r="G436" s="1238"/>
      <c r="H436" s="1238"/>
      <c r="I436" s="1238"/>
      <c r="J436" s="1238"/>
      <c r="K436" s="1238"/>
      <c r="L436" s="1238"/>
      <c r="M436" s="1238"/>
      <c r="N436" s="1238"/>
      <c r="O436" s="1238"/>
      <c r="P436" s="1238"/>
      <c r="Q436" s="1238"/>
      <c r="R436" s="1239"/>
      <c r="S436" s="1200" t="s">
        <v>761</v>
      </c>
      <c r="T436" s="1202"/>
      <c r="U436" s="1201"/>
      <c r="V436" s="1200" t="s">
        <v>569</v>
      </c>
      <c r="W436" s="1202"/>
      <c r="X436" s="1201"/>
      <c r="Y436" s="1202" t="s">
        <v>762</v>
      </c>
      <c r="Z436" s="1202"/>
      <c r="AA436" s="1202"/>
      <c r="AB436" s="1200" t="s">
        <v>822</v>
      </c>
      <c r="AC436" s="1202"/>
      <c r="AD436" s="1201"/>
      <c r="AE436" s="1202" t="s">
        <v>383</v>
      </c>
      <c r="AF436" s="1202"/>
      <c r="AG436" s="1200" t="s">
        <v>384</v>
      </c>
      <c r="AH436" s="1202"/>
      <c r="AI436" s="1201"/>
      <c r="AJ436" s="1200" t="s">
        <v>385</v>
      </c>
      <c r="AK436" s="1202"/>
      <c r="AL436" s="1202"/>
      <c r="AM436" s="83"/>
    </row>
    <row r="437" spans="2:39" ht="27" customHeight="1">
      <c r="B437" s="1182"/>
      <c r="C437" s="192">
        <v>3</v>
      </c>
      <c r="D437" s="1179" t="s">
        <v>386</v>
      </c>
      <c r="E437" s="1180"/>
      <c r="F437" s="1180"/>
      <c r="G437" s="1180"/>
      <c r="H437" s="1180"/>
      <c r="I437" s="1180"/>
      <c r="J437" s="1180"/>
      <c r="K437" s="1180"/>
      <c r="L437" s="1180"/>
      <c r="M437" s="1180"/>
      <c r="N437" s="1180"/>
      <c r="O437" s="1180"/>
      <c r="P437" s="1180"/>
      <c r="Q437" s="1180"/>
      <c r="R437" s="90"/>
      <c r="S437" s="1200"/>
      <c r="T437" s="1202"/>
      <c r="U437" s="1201"/>
      <c r="V437" s="1200"/>
      <c r="W437" s="1202"/>
      <c r="X437" s="1201"/>
      <c r="Y437" s="1200"/>
      <c r="Z437" s="1202"/>
      <c r="AA437" s="1201"/>
      <c r="AB437" s="1200"/>
      <c r="AC437" s="1202"/>
      <c r="AD437" s="1201"/>
      <c r="AE437" s="1200"/>
      <c r="AF437" s="1201"/>
      <c r="AG437" s="1200"/>
      <c r="AH437" s="1202"/>
      <c r="AI437" s="1201"/>
      <c r="AJ437" s="1200"/>
      <c r="AK437" s="1202"/>
      <c r="AL437" s="1202"/>
      <c r="AM437" s="83"/>
    </row>
    <row r="438" spans="2:39" ht="25.5" customHeight="1">
      <c r="B438" s="1182"/>
      <c r="C438" s="192">
        <v>4</v>
      </c>
      <c r="D438" s="1179" t="s">
        <v>387</v>
      </c>
      <c r="E438" s="1180"/>
      <c r="F438" s="1180"/>
      <c r="G438" s="1180"/>
      <c r="H438" s="1180"/>
      <c r="I438" s="1180"/>
      <c r="J438" s="1180"/>
      <c r="K438" s="1180"/>
      <c r="L438" s="1180"/>
      <c r="M438" s="1180"/>
      <c r="N438" s="1180"/>
      <c r="O438" s="1180"/>
      <c r="P438" s="1180"/>
      <c r="Q438" s="1180"/>
      <c r="S438" s="1200"/>
      <c r="T438" s="1202"/>
      <c r="U438" s="1201"/>
      <c r="V438" s="1200"/>
      <c r="W438" s="1202"/>
      <c r="X438" s="1201"/>
      <c r="Y438" s="1200"/>
      <c r="Z438" s="1202"/>
      <c r="AA438" s="1201"/>
      <c r="AB438" s="1200"/>
      <c r="AC438" s="1202"/>
      <c r="AD438" s="1201"/>
      <c r="AE438" s="1200"/>
      <c r="AF438" s="1201"/>
      <c r="AG438" s="1200"/>
      <c r="AH438" s="1202"/>
      <c r="AI438" s="1201"/>
      <c r="AJ438" s="1200"/>
      <c r="AK438" s="1202"/>
      <c r="AL438" s="1202"/>
      <c r="AM438" s="83"/>
    </row>
    <row r="439" spans="2:39" ht="23.25" customHeight="1">
      <c r="B439" s="1182"/>
      <c r="C439" s="192">
        <v>5</v>
      </c>
      <c r="D439" s="1179" t="s">
        <v>388</v>
      </c>
      <c r="E439" s="1180"/>
      <c r="F439" s="1180"/>
      <c r="G439" s="1180"/>
      <c r="H439" s="1180"/>
      <c r="I439" s="1180"/>
      <c r="J439" s="1180"/>
      <c r="K439" s="1180"/>
      <c r="L439" s="1180"/>
      <c r="M439" s="1180"/>
      <c r="N439" s="1180"/>
      <c r="O439" s="1180"/>
      <c r="P439" s="1180"/>
      <c r="Q439" s="1180"/>
      <c r="R439" s="90"/>
      <c r="S439" s="1200"/>
      <c r="T439" s="1202"/>
      <c r="U439" s="1201"/>
      <c r="V439" s="1200"/>
      <c r="W439" s="1202"/>
      <c r="X439" s="1201"/>
      <c r="Y439" s="1200"/>
      <c r="Z439" s="1202"/>
      <c r="AA439" s="1201"/>
      <c r="AB439" s="1200"/>
      <c r="AC439" s="1202"/>
      <c r="AD439" s="1201"/>
      <c r="AE439" s="1200"/>
      <c r="AF439" s="1201"/>
      <c r="AG439" s="1200"/>
      <c r="AH439" s="1202"/>
      <c r="AI439" s="1201"/>
      <c r="AJ439" s="1200"/>
      <c r="AK439" s="1202"/>
      <c r="AL439" s="1202"/>
      <c r="AM439" s="83"/>
    </row>
    <row r="440" spans="2:39" ht="24" customHeight="1">
      <c r="B440" s="1182"/>
      <c r="C440" s="192">
        <v>6</v>
      </c>
      <c r="D440" s="1179" t="s">
        <v>389</v>
      </c>
      <c r="E440" s="1180"/>
      <c r="F440" s="1180"/>
      <c r="G440" s="1180"/>
      <c r="H440" s="1180"/>
      <c r="I440" s="1180"/>
      <c r="J440" s="1180"/>
      <c r="K440" s="1180"/>
      <c r="L440" s="1180"/>
      <c r="M440" s="1180"/>
      <c r="N440" s="1180"/>
      <c r="O440" s="1180"/>
      <c r="P440" s="1180"/>
      <c r="Q440" s="1180"/>
      <c r="S440" s="1200"/>
      <c r="T440" s="1202"/>
      <c r="U440" s="1201"/>
      <c r="V440" s="1200"/>
      <c r="W440" s="1202"/>
      <c r="X440" s="1201"/>
      <c r="Y440" s="1200"/>
      <c r="Z440" s="1202"/>
      <c r="AA440" s="1201"/>
      <c r="AB440" s="1200"/>
      <c r="AC440" s="1202"/>
      <c r="AD440" s="1201"/>
      <c r="AE440" s="1200"/>
      <c r="AF440" s="1201"/>
      <c r="AG440" s="1200"/>
      <c r="AH440" s="1202"/>
      <c r="AI440" s="1201"/>
      <c r="AJ440" s="1200"/>
      <c r="AK440" s="1202"/>
      <c r="AL440" s="1202"/>
      <c r="AM440" s="83"/>
    </row>
    <row r="441" spans="2:39" ht="24.75" customHeight="1">
      <c r="B441" s="1182"/>
      <c r="C441" s="192">
        <v>7</v>
      </c>
      <c r="D441" s="1179" t="s">
        <v>390</v>
      </c>
      <c r="E441" s="1180"/>
      <c r="F441" s="1180"/>
      <c r="G441" s="1180"/>
      <c r="H441" s="1180"/>
      <c r="I441" s="1180"/>
      <c r="J441" s="1180"/>
      <c r="K441" s="1180"/>
      <c r="L441" s="1180"/>
      <c r="M441" s="1180"/>
      <c r="N441" s="1180"/>
      <c r="O441" s="1180"/>
      <c r="P441" s="1180"/>
      <c r="Q441" s="1180"/>
      <c r="R441" s="90"/>
      <c r="S441" s="1200"/>
      <c r="T441" s="1202"/>
      <c r="U441" s="1201"/>
      <c r="V441" s="1200"/>
      <c r="W441" s="1202"/>
      <c r="X441" s="1201"/>
      <c r="Y441" s="1200"/>
      <c r="Z441" s="1202"/>
      <c r="AA441" s="1201"/>
      <c r="AB441" s="1200"/>
      <c r="AC441" s="1202"/>
      <c r="AD441" s="1201"/>
      <c r="AE441" s="1200"/>
      <c r="AF441" s="1201"/>
      <c r="AG441" s="1200"/>
      <c r="AH441" s="1202"/>
      <c r="AI441" s="1201"/>
      <c r="AJ441" s="1200"/>
      <c r="AK441" s="1202"/>
      <c r="AL441" s="1202"/>
      <c r="AM441" s="83"/>
    </row>
    <row r="442" spans="2:39" ht="22.5" customHeight="1">
      <c r="B442" s="1182"/>
      <c r="C442" s="192">
        <v>8</v>
      </c>
      <c r="D442" s="1179" t="s">
        <v>391</v>
      </c>
      <c r="E442" s="1180"/>
      <c r="F442" s="1180"/>
      <c r="G442" s="1180"/>
      <c r="H442" s="1180"/>
      <c r="I442" s="1180"/>
      <c r="J442" s="1180"/>
      <c r="K442" s="1180"/>
      <c r="L442" s="1180"/>
      <c r="M442" s="1180"/>
      <c r="N442" s="1180"/>
      <c r="O442" s="1180"/>
      <c r="P442" s="1180"/>
      <c r="Q442" s="1180"/>
      <c r="S442" s="1200"/>
      <c r="T442" s="1202"/>
      <c r="U442" s="1201"/>
      <c r="V442" s="1200"/>
      <c r="W442" s="1202"/>
      <c r="X442" s="1201"/>
      <c r="Y442" s="1200"/>
      <c r="Z442" s="1202"/>
      <c r="AA442" s="1201"/>
      <c r="AB442" s="1200"/>
      <c r="AC442" s="1202"/>
      <c r="AD442" s="1201"/>
      <c r="AE442" s="1200"/>
      <c r="AF442" s="1201"/>
      <c r="AG442" s="1200"/>
      <c r="AH442" s="1202"/>
      <c r="AI442" s="1201"/>
      <c r="AJ442" s="1200"/>
      <c r="AK442" s="1202"/>
      <c r="AL442" s="1202"/>
      <c r="AM442" s="83"/>
    </row>
    <row r="443" spans="2:39" ht="24" customHeight="1">
      <c r="B443" s="1182"/>
      <c r="C443" s="192">
        <v>9</v>
      </c>
      <c r="D443" s="1179" t="s">
        <v>392</v>
      </c>
      <c r="E443" s="1180"/>
      <c r="F443" s="1180"/>
      <c r="G443" s="1180"/>
      <c r="H443" s="1180"/>
      <c r="I443" s="1180"/>
      <c r="J443" s="1180"/>
      <c r="K443" s="1180"/>
      <c r="L443" s="1180"/>
      <c r="M443" s="1180"/>
      <c r="N443" s="1180"/>
      <c r="O443" s="1180"/>
      <c r="P443" s="1180"/>
      <c r="Q443" s="1180"/>
      <c r="R443" s="90"/>
      <c r="S443" s="1200"/>
      <c r="T443" s="1202"/>
      <c r="U443" s="1201"/>
      <c r="V443" s="1200"/>
      <c r="W443" s="1202"/>
      <c r="X443" s="1201"/>
      <c r="Y443" s="1200"/>
      <c r="Z443" s="1202"/>
      <c r="AA443" s="1201"/>
      <c r="AB443" s="1200"/>
      <c r="AC443" s="1202"/>
      <c r="AD443" s="1201"/>
      <c r="AE443" s="1200"/>
      <c r="AF443" s="1201"/>
      <c r="AG443" s="1200"/>
      <c r="AH443" s="1202"/>
      <c r="AI443" s="1201"/>
      <c r="AJ443" s="1200"/>
      <c r="AK443" s="1202"/>
      <c r="AL443" s="1202"/>
      <c r="AM443" s="83"/>
    </row>
    <row r="444" spans="2:39" ht="15.75" customHeight="1">
      <c r="B444" s="1182"/>
      <c r="C444" s="192">
        <v>10</v>
      </c>
      <c r="D444" s="1179" t="s">
        <v>393</v>
      </c>
      <c r="E444" s="1180"/>
      <c r="F444" s="1180"/>
      <c r="G444" s="1180"/>
      <c r="H444" s="1180"/>
      <c r="I444" s="1180"/>
      <c r="J444" s="1180"/>
      <c r="K444" s="1180"/>
      <c r="L444" s="1180"/>
      <c r="M444" s="1180"/>
      <c r="N444" s="1180"/>
      <c r="O444" s="1180"/>
      <c r="P444" s="1180"/>
      <c r="Q444" s="1180"/>
      <c r="S444" s="1200"/>
      <c r="T444" s="1202"/>
      <c r="U444" s="1201"/>
      <c r="V444" s="1200"/>
      <c r="W444" s="1202"/>
      <c r="X444" s="1201"/>
      <c r="Y444" s="1200"/>
      <c r="Z444" s="1202"/>
      <c r="AA444" s="1201"/>
      <c r="AB444" s="1200"/>
      <c r="AC444" s="1202"/>
      <c r="AD444" s="1201"/>
      <c r="AE444" s="1200"/>
      <c r="AF444" s="1201"/>
      <c r="AG444" s="1200"/>
      <c r="AH444" s="1202"/>
      <c r="AI444" s="1201"/>
      <c r="AJ444" s="1200"/>
      <c r="AK444" s="1202"/>
      <c r="AL444" s="1202"/>
      <c r="AM444" s="83"/>
    </row>
    <row r="445" spans="2:39" ht="17.25" customHeight="1">
      <c r="B445" s="1182"/>
      <c r="C445" s="192">
        <v>11</v>
      </c>
      <c r="D445" s="1179" t="s">
        <v>394</v>
      </c>
      <c r="E445" s="1180"/>
      <c r="F445" s="1180"/>
      <c r="G445" s="1180"/>
      <c r="H445" s="1180"/>
      <c r="I445" s="1180"/>
      <c r="J445" s="1180"/>
      <c r="K445" s="1180"/>
      <c r="L445" s="1180"/>
      <c r="M445" s="1180"/>
      <c r="N445" s="1180"/>
      <c r="O445" s="1180"/>
      <c r="P445" s="1180"/>
      <c r="Q445" s="1180"/>
      <c r="R445" s="90"/>
      <c r="S445" s="1200"/>
      <c r="T445" s="1202"/>
      <c r="U445" s="1201"/>
      <c r="V445" s="1200"/>
      <c r="W445" s="1202"/>
      <c r="X445" s="1201"/>
      <c r="Y445" s="1200"/>
      <c r="Z445" s="1202"/>
      <c r="AA445" s="1201"/>
      <c r="AB445" s="1200"/>
      <c r="AC445" s="1202"/>
      <c r="AD445" s="1201"/>
      <c r="AE445" s="1200"/>
      <c r="AF445" s="1201"/>
      <c r="AG445" s="1200"/>
      <c r="AH445" s="1202"/>
      <c r="AI445" s="1201"/>
      <c r="AJ445" s="1200"/>
      <c r="AK445" s="1202"/>
      <c r="AL445" s="1202"/>
      <c r="AM445" s="83"/>
    </row>
    <row r="446" spans="2:39" ht="19.5" customHeight="1">
      <c r="B446" s="1182"/>
      <c r="C446" s="192">
        <v>12</v>
      </c>
      <c r="D446" s="1179" t="s">
        <v>395</v>
      </c>
      <c r="E446" s="1180"/>
      <c r="F446" s="1180"/>
      <c r="G446" s="1180"/>
      <c r="H446" s="1180"/>
      <c r="I446" s="1180"/>
      <c r="J446" s="1180"/>
      <c r="K446" s="1180"/>
      <c r="L446" s="1180"/>
      <c r="M446" s="1180"/>
      <c r="N446" s="1180"/>
      <c r="O446" s="1180"/>
      <c r="P446" s="1180"/>
      <c r="Q446" s="1180"/>
      <c r="S446" s="1200"/>
      <c r="T446" s="1202"/>
      <c r="U446" s="1201"/>
      <c r="V446" s="1200"/>
      <c r="W446" s="1202"/>
      <c r="X446" s="1201"/>
      <c r="Y446" s="1200"/>
      <c r="Z446" s="1202"/>
      <c r="AA446" s="1201"/>
      <c r="AB446" s="1200"/>
      <c r="AC446" s="1202"/>
      <c r="AD446" s="1201"/>
      <c r="AE446" s="1200"/>
      <c r="AF446" s="1201"/>
      <c r="AG446" s="1200"/>
      <c r="AH446" s="1202"/>
      <c r="AI446" s="1201"/>
      <c r="AJ446" s="1200"/>
      <c r="AK446" s="1202"/>
      <c r="AL446" s="1202"/>
      <c r="AM446" s="83"/>
    </row>
    <row r="447" spans="2:39" ht="15" customHeight="1">
      <c r="B447" s="1182"/>
      <c r="C447" s="192">
        <v>13</v>
      </c>
      <c r="D447" s="1179" t="s">
        <v>396</v>
      </c>
      <c r="E447" s="1180"/>
      <c r="F447" s="1180"/>
      <c r="G447" s="1180"/>
      <c r="H447" s="1180"/>
      <c r="I447" s="1180"/>
      <c r="J447" s="1180"/>
      <c r="K447" s="1180"/>
      <c r="L447" s="1180"/>
      <c r="M447" s="1180"/>
      <c r="N447" s="1180"/>
      <c r="O447" s="1180"/>
      <c r="P447" s="1180"/>
      <c r="Q447" s="1180"/>
      <c r="R447" s="90"/>
      <c r="S447" s="1200"/>
      <c r="T447" s="1202"/>
      <c r="U447" s="1201"/>
      <c r="V447" s="1200"/>
      <c r="W447" s="1202"/>
      <c r="X447" s="1201"/>
      <c r="Y447" s="1200"/>
      <c r="Z447" s="1202"/>
      <c r="AA447" s="1201"/>
      <c r="AB447" s="1200"/>
      <c r="AC447" s="1202"/>
      <c r="AD447" s="1201"/>
      <c r="AE447" s="1200"/>
      <c r="AF447" s="1201"/>
      <c r="AG447" s="1200"/>
      <c r="AH447" s="1202"/>
      <c r="AI447" s="1201"/>
      <c r="AJ447" s="1200"/>
      <c r="AK447" s="1202"/>
      <c r="AL447" s="1202"/>
      <c r="AM447" s="83"/>
    </row>
    <row r="448" spans="2:39" ht="14.25" customHeight="1">
      <c r="B448" s="1182"/>
      <c r="C448" s="192">
        <v>14</v>
      </c>
      <c r="D448" s="1179" t="s">
        <v>397</v>
      </c>
      <c r="E448" s="1180"/>
      <c r="F448" s="1180"/>
      <c r="G448" s="1180"/>
      <c r="H448" s="1180"/>
      <c r="I448" s="1180"/>
      <c r="J448" s="1180"/>
      <c r="K448" s="1180"/>
      <c r="L448" s="1180"/>
      <c r="M448" s="1180"/>
      <c r="N448" s="1180"/>
      <c r="O448" s="1180"/>
      <c r="P448" s="1180"/>
      <c r="Q448" s="1180"/>
      <c r="S448" s="1203" t="s">
        <v>854</v>
      </c>
      <c r="T448" s="1205"/>
      <c r="U448" s="1204"/>
      <c r="V448" s="1203" t="s">
        <v>854</v>
      </c>
      <c r="W448" s="1205"/>
      <c r="X448" s="1204"/>
      <c r="Y448" s="1203" t="s">
        <v>854</v>
      </c>
      <c r="Z448" s="1205"/>
      <c r="AA448" s="1204"/>
      <c r="AB448" s="1203" t="s">
        <v>854</v>
      </c>
      <c r="AC448" s="1205"/>
      <c r="AD448" s="1204"/>
      <c r="AE448" s="1203" t="s">
        <v>854</v>
      </c>
      <c r="AF448" s="1204"/>
      <c r="AG448" s="1203" t="s">
        <v>854</v>
      </c>
      <c r="AH448" s="1205"/>
      <c r="AI448" s="1204"/>
      <c r="AJ448" s="1203" t="s">
        <v>854</v>
      </c>
      <c r="AK448" s="1205"/>
      <c r="AL448" s="1205"/>
      <c r="AM448" s="83"/>
    </row>
    <row r="449" spans="2:39" ht="24.75" customHeight="1">
      <c r="B449" s="1182"/>
      <c r="C449" s="192">
        <v>15</v>
      </c>
      <c r="D449" s="1179" t="s">
        <v>399</v>
      </c>
      <c r="E449" s="1180"/>
      <c r="F449" s="1180"/>
      <c r="G449" s="1180"/>
      <c r="H449" s="1180"/>
      <c r="I449" s="1180"/>
      <c r="J449" s="1180"/>
      <c r="K449" s="1180"/>
      <c r="L449" s="1180"/>
      <c r="M449" s="1180"/>
      <c r="N449" s="1180"/>
      <c r="O449" s="1180"/>
      <c r="P449" s="1180"/>
      <c r="Q449" s="1180"/>
      <c r="R449" s="90"/>
      <c r="S449" s="1200"/>
      <c r="T449" s="1202"/>
      <c r="U449" s="1201"/>
      <c r="V449" s="1200"/>
      <c r="W449" s="1202"/>
      <c r="X449" s="1201"/>
      <c r="Y449" s="1200"/>
      <c r="Z449" s="1202"/>
      <c r="AA449" s="1201"/>
      <c r="AB449" s="1200"/>
      <c r="AC449" s="1202"/>
      <c r="AD449" s="1201"/>
      <c r="AE449" s="1200"/>
      <c r="AF449" s="1201"/>
      <c r="AG449" s="1200"/>
      <c r="AH449" s="1202"/>
      <c r="AI449" s="1201"/>
      <c r="AJ449" s="1200"/>
      <c r="AK449" s="1202"/>
      <c r="AL449" s="1202"/>
      <c r="AM449" s="83"/>
    </row>
    <row r="450" spans="2:39" ht="18" customHeight="1">
      <c r="B450" s="1182"/>
      <c r="C450" s="192">
        <v>16</v>
      </c>
      <c r="D450" s="1177" t="s">
        <v>879</v>
      </c>
      <c r="E450" s="1178"/>
      <c r="F450" s="1178"/>
      <c r="G450" s="1178"/>
      <c r="H450" s="1178"/>
      <c r="I450" s="1178"/>
      <c r="J450" s="1178"/>
      <c r="K450" s="1178"/>
      <c r="L450" s="1178"/>
      <c r="M450" s="1178"/>
      <c r="N450" s="1178"/>
      <c r="O450" s="1178"/>
      <c r="P450" s="1178"/>
      <c r="Q450" s="1178"/>
      <c r="R450" s="1222"/>
      <c r="S450" s="1200"/>
      <c r="T450" s="1202"/>
      <c r="U450" s="1201"/>
      <c r="V450" s="1200"/>
      <c r="W450" s="1202"/>
      <c r="X450" s="1201"/>
      <c r="Y450" s="1200"/>
      <c r="Z450" s="1202"/>
      <c r="AA450" s="1201"/>
      <c r="AB450" s="1200"/>
      <c r="AC450" s="1202"/>
      <c r="AD450" s="1201"/>
      <c r="AE450" s="1200"/>
      <c r="AF450" s="1201"/>
      <c r="AG450" s="1200"/>
      <c r="AH450" s="1202"/>
      <c r="AI450" s="1201"/>
      <c r="AJ450" s="1200"/>
      <c r="AK450" s="1202"/>
      <c r="AL450" s="1202"/>
      <c r="AM450" s="83"/>
    </row>
    <row r="451" spans="2:39" ht="25.5" customHeight="1">
      <c r="B451" s="1183"/>
      <c r="C451" s="192">
        <v>17</v>
      </c>
      <c r="D451" s="1179" t="s">
        <v>401</v>
      </c>
      <c r="E451" s="1180"/>
      <c r="F451" s="1180"/>
      <c r="G451" s="1180"/>
      <c r="H451" s="1180"/>
      <c r="I451" s="1180"/>
      <c r="J451" s="1180"/>
      <c r="K451" s="1180"/>
      <c r="L451" s="1180"/>
      <c r="M451" s="1180"/>
      <c r="N451" s="1180"/>
      <c r="O451" s="1180"/>
      <c r="P451" s="1180"/>
      <c r="Q451" s="1180"/>
      <c r="R451" s="80"/>
      <c r="S451" s="1200"/>
      <c r="T451" s="1202"/>
      <c r="U451" s="1201"/>
      <c r="V451" s="1200"/>
      <c r="W451" s="1202"/>
      <c r="X451" s="1201"/>
      <c r="Y451" s="1200"/>
      <c r="Z451" s="1202"/>
      <c r="AA451" s="1201"/>
      <c r="AB451" s="1200"/>
      <c r="AC451" s="1202"/>
      <c r="AD451" s="1201"/>
      <c r="AE451" s="1200"/>
      <c r="AF451" s="1201"/>
      <c r="AG451" s="1200"/>
      <c r="AH451" s="1202"/>
      <c r="AI451" s="1201"/>
      <c r="AJ451" s="1200"/>
      <c r="AK451" s="1202"/>
      <c r="AL451" s="1202"/>
      <c r="AM451" s="83"/>
    </row>
    <row r="453" spans="2:39" ht="16.5" customHeight="1">
      <c r="B453" s="1232" t="s">
        <v>402</v>
      </c>
      <c r="C453" s="1233"/>
      <c r="D453" s="1233"/>
      <c r="E453" s="1233"/>
      <c r="F453" s="1233"/>
      <c r="G453" s="136" t="s">
        <v>531</v>
      </c>
      <c r="H453" s="136"/>
      <c r="I453" s="136"/>
      <c r="J453" s="136"/>
      <c r="K453" s="136"/>
      <c r="L453" s="136"/>
      <c r="M453" s="136"/>
      <c r="N453" s="136"/>
      <c r="O453" s="136"/>
      <c r="P453" s="136"/>
      <c r="Q453" s="136"/>
      <c r="R453" s="136"/>
      <c r="S453" s="136"/>
      <c r="T453" s="136"/>
      <c r="U453" s="136"/>
      <c r="V453" s="136"/>
      <c r="W453" s="136"/>
      <c r="X453" s="136"/>
      <c r="Y453" s="136"/>
      <c r="Z453" s="136"/>
      <c r="AA453" s="136"/>
      <c r="AB453" s="136"/>
      <c r="AC453" s="136"/>
      <c r="AD453" s="136"/>
      <c r="AE453" s="136"/>
      <c r="AF453" s="136"/>
    </row>
    <row r="454" spans="2:39" ht="24.75" customHeight="1">
      <c r="B454" s="1323" t="s">
        <v>121</v>
      </c>
      <c r="C454" s="192">
        <v>1</v>
      </c>
      <c r="D454" s="1223" t="s">
        <v>529</v>
      </c>
      <c r="E454" s="1224"/>
      <c r="F454" s="1224"/>
      <c r="G454" s="1224"/>
      <c r="H454" s="1224"/>
      <c r="I454" s="1224"/>
      <c r="J454" s="1224"/>
      <c r="K454" s="1224"/>
      <c r="L454" s="1224"/>
      <c r="M454" s="1224"/>
      <c r="N454" s="1224"/>
      <c r="O454" s="1224"/>
      <c r="P454" s="1224"/>
      <c r="Q454" s="1224"/>
      <c r="R454" s="1225"/>
      <c r="S454" s="1220" t="s">
        <v>403</v>
      </c>
      <c r="T454" s="1221"/>
      <c r="U454" s="1221"/>
      <c r="V454" s="1221"/>
      <c r="W454" s="1221"/>
      <c r="X454" s="1221"/>
      <c r="Y454" s="1221"/>
      <c r="Z454" s="1221"/>
      <c r="AA454" s="1313"/>
      <c r="AB454" s="1209" t="s">
        <v>532</v>
      </c>
      <c r="AC454" s="1210"/>
      <c r="AD454" s="1293"/>
      <c r="AE454" s="1209" t="s">
        <v>533</v>
      </c>
      <c r="AF454" s="1210"/>
      <c r="AG454" s="1220" t="s">
        <v>404</v>
      </c>
      <c r="AH454" s="1221"/>
      <c r="AI454" s="1221"/>
      <c r="AJ454" s="1221"/>
      <c r="AK454" s="1221"/>
      <c r="AL454" s="1221"/>
      <c r="AM454" s="83"/>
    </row>
    <row r="455" spans="2:39" ht="12.75" customHeight="1">
      <c r="B455" s="1323"/>
      <c r="C455" s="1242">
        <v>2</v>
      </c>
      <c r="D455" s="1235" t="s">
        <v>382</v>
      </c>
      <c r="E455" s="1235"/>
      <c r="F455" s="1235"/>
      <c r="G455" s="1235"/>
      <c r="H455" s="1235"/>
      <c r="I455" s="1235"/>
      <c r="J455" s="1235"/>
      <c r="K455" s="1235"/>
      <c r="L455" s="1235"/>
      <c r="M455" s="1235"/>
      <c r="N455" s="1235"/>
      <c r="O455" s="1235"/>
      <c r="P455" s="1235"/>
      <c r="Q455" s="1235"/>
      <c r="R455" s="1236"/>
      <c r="S455" s="1200">
        <v>5</v>
      </c>
      <c r="T455" s="1202"/>
      <c r="U455" s="1201"/>
      <c r="V455" s="1200">
        <v>10</v>
      </c>
      <c r="W455" s="1202"/>
      <c r="X455" s="1201"/>
      <c r="Y455" s="1202">
        <v>100</v>
      </c>
      <c r="Z455" s="1202"/>
      <c r="AA455" s="1202"/>
      <c r="AB455" s="1200">
        <v>10</v>
      </c>
      <c r="AC455" s="1202"/>
      <c r="AD455" s="1201"/>
      <c r="AE455" s="1202">
        <v>25</v>
      </c>
      <c r="AF455" s="1202"/>
      <c r="AG455" s="1200">
        <v>20</v>
      </c>
      <c r="AH455" s="1202"/>
      <c r="AI455" s="1202"/>
      <c r="AJ455" s="1202"/>
      <c r="AK455" s="1202"/>
      <c r="AL455" s="1202"/>
      <c r="AM455" s="83"/>
    </row>
    <row r="456" spans="2:39">
      <c r="B456" s="1323"/>
      <c r="C456" s="1243"/>
      <c r="D456" s="1238"/>
      <c r="E456" s="1238"/>
      <c r="F456" s="1238"/>
      <c r="G456" s="1238"/>
      <c r="H456" s="1238"/>
      <c r="I456" s="1238"/>
      <c r="J456" s="1238"/>
      <c r="K456" s="1238"/>
      <c r="L456" s="1238"/>
      <c r="M456" s="1238"/>
      <c r="N456" s="1238"/>
      <c r="O456" s="1238"/>
      <c r="P456" s="1238"/>
      <c r="Q456" s="1238"/>
      <c r="R456" s="1239"/>
      <c r="S456" s="1200" t="s">
        <v>761</v>
      </c>
      <c r="T456" s="1202"/>
      <c r="U456" s="1201"/>
      <c r="V456" s="1202" t="s">
        <v>569</v>
      </c>
      <c r="W456" s="1202"/>
      <c r="X456" s="1201"/>
      <c r="Y456" s="1202" t="s">
        <v>762</v>
      </c>
      <c r="Z456" s="1202"/>
      <c r="AA456" s="1202"/>
      <c r="AB456" s="1200" t="s">
        <v>822</v>
      </c>
      <c r="AC456" s="1202"/>
      <c r="AD456" s="1201"/>
      <c r="AE456" s="1202" t="s">
        <v>383</v>
      </c>
      <c r="AF456" s="1202"/>
      <c r="AG456" s="1200" t="s">
        <v>384</v>
      </c>
      <c r="AH456" s="1202"/>
      <c r="AI456" s="1202"/>
      <c r="AJ456" s="1202"/>
      <c r="AK456" s="1202"/>
      <c r="AL456" s="1202"/>
      <c r="AM456" s="83"/>
    </row>
    <row r="457" spans="2:39" ht="27.75" customHeight="1">
      <c r="B457" s="1323"/>
      <c r="C457" s="110">
        <v>3</v>
      </c>
      <c r="D457" s="1179" t="s">
        <v>386</v>
      </c>
      <c r="E457" s="1180"/>
      <c r="F457" s="1180"/>
      <c r="G457" s="1180"/>
      <c r="H457" s="1180"/>
      <c r="I457" s="1180"/>
      <c r="J457" s="1180"/>
      <c r="K457" s="1180"/>
      <c r="L457" s="1180"/>
      <c r="M457" s="1180"/>
      <c r="N457" s="1180"/>
      <c r="O457" s="1180"/>
      <c r="P457" s="1180"/>
      <c r="Q457" s="1180"/>
      <c r="R457" s="89"/>
      <c r="S457" s="1159"/>
      <c r="T457" s="1160"/>
      <c r="U457" s="1161"/>
      <c r="V457" s="1159"/>
      <c r="W457" s="1160"/>
      <c r="X457" s="1161"/>
      <c r="Y457" s="1159"/>
      <c r="Z457" s="1160"/>
      <c r="AA457" s="1161"/>
      <c r="AB457" s="1159"/>
      <c r="AC457" s="1160"/>
      <c r="AD457" s="1161"/>
      <c r="AE457" s="1159"/>
      <c r="AF457" s="1161"/>
      <c r="AG457" s="1159"/>
      <c r="AH457" s="1160"/>
      <c r="AI457" s="1160"/>
      <c r="AJ457" s="1160"/>
      <c r="AK457" s="1160"/>
      <c r="AL457" s="1160"/>
      <c r="AM457" s="83"/>
    </row>
    <row r="458" spans="2:39" ht="25.5" customHeight="1">
      <c r="B458" s="1323"/>
      <c r="C458" s="110">
        <v>4</v>
      </c>
      <c r="D458" s="1179" t="s">
        <v>387</v>
      </c>
      <c r="E458" s="1180"/>
      <c r="F458" s="1180"/>
      <c r="G458" s="1180"/>
      <c r="H458" s="1180"/>
      <c r="I458" s="1180"/>
      <c r="J458" s="1180"/>
      <c r="K458" s="1180"/>
      <c r="L458" s="1180"/>
      <c r="M458" s="1180"/>
      <c r="N458" s="1180"/>
      <c r="O458" s="1180"/>
      <c r="P458" s="1180"/>
      <c r="Q458" s="1180"/>
      <c r="S458" s="1159"/>
      <c r="T458" s="1160"/>
      <c r="U458" s="1161"/>
      <c r="V458" s="1159"/>
      <c r="W458" s="1160"/>
      <c r="X458" s="1161"/>
      <c r="Y458" s="1159"/>
      <c r="Z458" s="1160"/>
      <c r="AA458" s="1161"/>
      <c r="AB458" s="1159"/>
      <c r="AC458" s="1160"/>
      <c r="AD458" s="1161"/>
      <c r="AE458" s="1159"/>
      <c r="AF458" s="1161"/>
      <c r="AG458" s="1159"/>
      <c r="AH458" s="1160"/>
      <c r="AI458" s="1160"/>
      <c r="AJ458" s="1160"/>
      <c r="AK458" s="1160"/>
      <c r="AL458" s="1160"/>
      <c r="AM458" s="83"/>
    </row>
    <row r="459" spans="2:39" ht="15.75" customHeight="1">
      <c r="B459" s="1324"/>
      <c r="C459" s="110">
        <v>5</v>
      </c>
      <c r="D459" s="1179" t="s">
        <v>405</v>
      </c>
      <c r="E459" s="1180"/>
      <c r="F459" s="1180"/>
      <c r="G459" s="1180"/>
      <c r="H459" s="1180"/>
      <c r="I459" s="1180"/>
      <c r="J459" s="1180"/>
      <c r="K459" s="1180"/>
      <c r="L459" s="1180"/>
      <c r="M459" s="1180"/>
      <c r="N459" s="1180"/>
      <c r="O459" s="1180"/>
      <c r="P459" s="1180"/>
      <c r="Q459" s="1180"/>
      <c r="R459" s="90"/>
      <c r="S459" s="1200"/>
      <c r="T459" s="1202"/>
      <c r="U459" s="1201"/>
      <c r="V459" s="1200"/>
      <c r="W459" s="1202"/>
      <c r="X459" s="1201"/>
      <c r="Y459" s="1200"/>
      <c r="Z459" s="1202"/>
      <c r="AA459" s="1201"/>
      <c r="AB459" s="1200"/>
      <c r="AC459" s="1202"/>
      <c r="AD459" s="1201"/>
      <c r="AE459" s="1200"/>
      <c r="AF459" s="1201"/>
      <c r="AG459" s="1200"/>
      <c r="AH459" s="1202"/>
      <c r="AI459" s="1202"/>
      <c r="AJ459" s="1202"/>
      <c r="AK459" s="1202"/>
      <c r="AL459" s="1201"/>
      <c r="AM459" s="83"/>
    </row>
    <row r="460" spans="2:39" ht="12.75">
      <c r="AE460" s="125" t="s">
        <v>492</v>
      </c>
      <c r="AF460" s="1168" t="s">
        <v>907</v>
      </c>
      <c r="AG460" s="1168"/>
      <c r="AH460" s="1168"/>
      <c r="AI460" s="1168"/>
      <c r="AJ460" s="132" t="s">
        <v>534</v>
      </c>
      <c r="AK460" s="131"/>
      <c r="AL460" s="133">
        <v>9.06</v>
      </c>
    </row>
    <row r="462" spans="2:39" ht="20.25" customHeight="1">
      <c r="B462" s="1161"/>
      <c r="C462" s="120"/>
      <c r="D462" s="1179" t="s">
        <v>406</v>
      </c>
      <c r="E462" s="1180"/>
      <c r="F462" s="1180"/>
      <c r="G462" s="1180"/>
      <c r="H462" s="1180"/>
      <c r="I462" s="1180"/>
      <c r="J462" s="1180"/>
      <c r="K462" s="1180"/>
      <c r="L462" s="1180"/>
      <c r="M462" s="1180"/>
      <c r="N462" s="1180"/>
      <c r="O462" s="1180"/>
      <c r="P462" s="1180"/>
      <c r="Q462" s="1180"/>
      <c r="R462" s="90"/>
      <c r="S462" s="1200"/>
      <c r="T462" s="1202"/>
      <c r="U462" s="1201"/>
      <c r="V462" s="1159"/>
      <c r="W462" s="1160"/>
      <c r="X462" s="1161"/>
      <c r="Y462" s="1159"/>
      <c r="Z462" s="1160"/>
      <c r="AA462" s="1161"/>
      <c r="AB462" s="1159"/>
      <c r="AC462" s="1160"/>
      <c r="AD462" s="1161"/>
      <c r="AE462" s="1159"/>
      <c r="AF462" s="1161"/>
      <c r="AG462" s="1200"/>
      <c r="AH462" s="1202"/>
      <c r="AI462" s="1202"/>
      <c r="AJ462" s="1202"/>
      <c r="AK462" s="1202"/>
      <c r="AL462" s="1201"/>
      <c r="AM462" s="83"/>
    </row>
    <row r="463" spans="2:39" ht="22.5" customHeight="1">
      <c r="B463" s="1164"/>
      <c r="C463" s="192">
        <v>6</v>
      </c>
      <c r="D463" s="1179" t="s">
        <v>389</v>
      </c>
      <c r="E463" s="1180"/>
      <c r="F463" s="1180"/>
      <c r="G463" s="1180"/>
      <c r="H463" s="1180"/>
      <c r="I463" s="1180"/>
      <c r="J463" s="1180"/>
      <c r="K463" s="1180"/>
      <c r="L463" s="1180"/>
      <c r="M463" s="1180"/>
      <c r="N463" s="1180"/>
      <c r="O463" s="1180"/>
      <c r="P463" s="1180"/>
      <c r="Q463" s="1180"/>
      <c r="S463" s="1162"/>
      <c r="T463" s="1163"/>
      <c r="U463" s="1164"/>
      <c r="V463" s="1159"/>
      <c r="W463" s="1160"/>
      <c r="X463" s="1161"/>
      <c r="Y463" s="1159"/>
      <c r="Z463" s="1160"/>
      <c r="AA463" s="1161"/>
      <c r="AB463" s="1159"/>
      <c r="AC463" s="1160"/>
      <c r="AD463" s="1161"/>
      <c r="AE463" s="1159"/>
      <c r="AF463" s="1161"/>
      <c r="AG463" s="1159"/>
      <c r="AH463" s="1160"/>
      <c r="AI463" s="1160"/>
      <c r="AJ463" s="1160"/>
      <c r="AK463" s="1160"/>
      <c r="AL463" s="1160"/>
      <c r="AM463" s="83"/>
    </row>
    <row r="464" spans="2:39" ht="23.25" customHeight="1">
      <c r="B464" s="1164"/>
      <c r="C464" s="192">
        <v>7</v>
      </c>
      <c r="D464" s="1179" t="s">
        <v>390</v>
      </c>
      <c r="E464" s="1180"/>
      <c r="F464" s="1180"/>
      <c r="G464" s="1180"/>
      <c r="H464" s="1180"/>
      <c r="I464" s="1180"/>
      <c r="J464" s="1180"/>
      <c r="K464" s="1180"/>
      <c r="L464" s="1180"/>
      <c r="M464" s="1180"/>
      <c r="N464" s="1180"/>
      <c r="O464" s="1180"/>
      <c r="P464" s="1180"/>
      <c r="Q464" s="1180"/>
      <c r="R464" s="90"/>
      <c r="S464" s="1200"/>
      <c r="T464" s="1202"/>
      <c r="U464" s="1201"/>
      <c r="V464" s="1159"/>
      <c r="W464" s="1160"/>
      <c r="X464" s="1161"/>
      <c r="Y464" s="1159"/>
      <c r="Z464" s="1160"/>
      <c r="AA464" s="1161"/>
      <c r="AB464" s="1159"/>
      <c r="AC464" s="1160"/>
      <c r="AD464" s="1161"/>
      <c r="AE464" s="1159"/>
      <c r="AF464" s="1161"/>
      <c r="AG464" s="1159"/>
      <c r="AH464" s="1160"/>
      <c r="AI464" s="1160"/>
      <c r="AJ464" s="1160"/>
      <c r="AK464" s="1160"/>
      <c r="AL464" s="1160"/>
      <c r="AM464" s="83"/>
    </row>
    <row r="465" spans="2:39" ht="25.5" customHeight="1">
      <c r="B465" s="1164"/>
      <c r="C465" s="192">
        <v>8</v>
      </c>
      <c r="D465" s="1179" t="s">
        <v>391</v>
      </c>
      <c r="E465" s="1180"/>
      <c r="F465" s="1180"/>
      <c r="G465" s="1180"/>
      <c r="H465" s="1180"/>
      <c r="I465" s="1180"/>
      <c r="J465" s="1180"/>
      <c r="K465" s="1180"/>
      <c r="L465" s="1180"/>
      <c r="M465" s="1180"/>
      <c r="N465" s="1180"/>
      <c r="O465" s="1180"/>
      <c r="P465" s="1180"/>
      <c r="Q465" s="1180"/>
      <c r="S465" s="1162"/>
      <c r="T465" s="1163"/>
      <c r="U465" s="1164"/>
      <c r="V465" s="1159"/>
      <c r="W465" s="1160"/>
      <c r="X465" s="1161"/>
      <c r="Y465" s="1159"/>
      <c r="Z465" s="1160"/>
      <c r="AA465" s="1161"/>
      <c r="AB465" s="1159"/>
      <c r="AC465" s="1160"/>
      <c r="AD465" s="1161"/>
      <c r="AE465" s="1159"/>
      <c r="AF465" s="1161"/>
      <c r="AG465" s="1159"/>
      <c r="AH465" s="1160"/>
      <c r="AI465" s="1160"/>
      <c r="AJ465" s="1160"/>
      <c r="AK465" s="1160"/>
      <c r="AL465" s="1160"/>
      <c r="AM465" s="83"/>
    </row>
    <row r="466" spans="2:39" ht="24" customHeight="1">
      <c r="B466" s="1164"/>
      <c r="C466" s="192">
        <v>9</v>
      </c>
      <c r="D466" s="1179" t="s">
        <v>392</v>
      </c>
      <c r="E466" s="1180"/>
      <c r="F466" s="1180"/>
      <c r="G466" s="1180"/>
      <c r="H466" s="1180"/>
      <c r="I466" s="1180"/>
      <c r="J466" s="1180"/>
      <c r="K466" s="1180"/>
      <c r="L466" s="1180"/>
      <c r="M466" s="1180"/>
      <c r="N466" s="1180"/>
      <c r="O466" s="1180"/>
      <c r="P466" s="1180"/>
      <c r="Q466" s="1180"/>
      <c r="R466" s="89"/>
      <c r="S466" s="1159"/>
      <c r="T466" s="1160"/>
      <c r="U466" s="1161"/>
      <c r="V466" s="1159"/>
      <c r="W466" s="1160"/>
      <c r="X466" s="1161"/>
      <c r="Y466" s="1159"/>
      <c r="Z466" s="1160"/>
      <c r="AA466" s="1161"/>
      <c r="AB466" s="1159"/>
      <c r="AC466" s="1160"/>
      <c r="AD466" s="1161"/>
      <c r="AE466" s="1159"/>
      <c r="AF466" s="1161"/>
      <c r="AG466" s="1159"/>
      <c r="AH466" s="1160"/>
      <c r="AI466" s="1160"/>
      <c r="AJ466" s="1160"/>
      <c r="AK466" s="1160"/>
      <c r="AL466" s="1160"/>
      <c r="AM466" s="83"/>
    </row>
    <row r="467" spans="2:39" ht="15" customHeight="1">
      <c r="B467" s="1164"/>
      <c r="C467" s="192">
        <v>10</v>
      </c>
      <c r="D467" s="1179" t="s">
        <v>393</v>
      </c>
      <c r="E467" s="1180"/>
      <c r="F467" s="1180"/>
      <c r="G467" s="1180"/>
      <c r="H467" s="1180"/>
      <c r="I467" s="1180"/>
      <c r="J467" s="1180"/>
      <c r="K467" s="1180"/>
      <c r="L467" s="1180"/>
      <c r="M467" s="1180"/>
      <c r="N467" s="1180"/>
      <c r="O467" s="1180"/>
      <c r="P467" s="1180"/>
      <c r="Q467" s="1180"/>
      <c r="S467" s="1159"/>
      <c r="T467" s="1160"/>
      <c r="U467" s="1161"/>
      <c r="V467" s="1159"/>
      <c r="W467" s="1160"/>
      <c r="X467" s="1161"/>
      <c r="Y467" s="1159"/>
      <c r="Z467" s="1160"/>
      <c r="AA467" s="1161"/>
      <c r="AB467" s="1159"/>
      <c r="AC467" s="1160"/>
      <c r="AD467" s="1161"/>
      <c r="AE467" s="1159"/>
      <c r="AF467" s="1161"/>
      <c r="AG467" s="1159"/>
      <c r="AH467" s="1160"/>
      <c r="AI467" s="1160"/>
      <c r="AJ467" s="1160"/>
      <c r="AK467" s="1160"/>
      <c r="AL467" s="1160"/>
      <c r="AM467" s="83"/>
    </row>
    <row r="468" spans="2:39" ht="15.75" customHeight="1">
      <c r="B468" s="1164"/>
      <c r="C468" s="192">
        <v>11</v>
      </c>
      <c r="D468" s="1179" t="s">
        <v>394</v>
      </c>
      <c r="E468" s="1180"/>
      <c r="F468" s="1180"/>
      <c r="G468" s="1180"/>
      <c r="H468" s="1180"/>
      <c r="I468" s="1180"/>
      <c r="J468" s="1180"/>
      <c r="K468" s="1180"/>
      <c r="L468" s="1180"/>
      <c r="M468" s="1180"/>
      <c r="N468" s="1180"/>
      <c r="O468" s="1180"/>
      <c r="P468" s="1180"/>
      <c r="Q468" s="1180"/>
      <c r="R468" s="89"/>
      <c r="S468" s="1159"/>
      <c r="T468" s="1160"/>
      <c r="U468" s="1161"/>
      <c r="V468" s="1159"/>
      <c r="W468" s="1160"/>
      <c r="X468" s="1161"/>
      <c r="Y468" s="1159"/>
      <c r="Z468" s="1160"/>
      <c r="AA468" s="1161"/>
      <c r="AB468" s="1159"/>
      <c r="AC468" s="1160"/>
      <c r="AD468" s="1161"/>
      <c r="AE468" s="1159"/>
      <c r="AF468" s="1161"/>
      <c r="AG468" s="1159"/>
      <c r="AH468" s="1160"/>
      <c r="AI468" s="1160"/>
      <c r="AJ468" s="1160"/>
      <c r="AK468" s="1160"/>
      <c r="AL468" s="1160"/>
      <c r="AM468" s="83"/>
    </row>
    <row r="469" spans="2:39" ht="17.25" customHeight="1">
      <c r="B469" s="1164"/>
      <c r="C469" s="192">
        <v>12</v>
      </c>
      <c r="D469" s="1179" t="s">
        <v>395</v>
      </c>
      <c r="E469" s="1180"/>
      <c r="F469" s="1180"/>
      <c r="G469" s="1180"/>
      <c r="H469" s="1180"/>
      <c r="I469" s="1180"/>
      <c r="J469" s="1180"/>
      <c r="K469" s="1180"/>
      <c r="L469" s="1180"/>
      <c r="M469" s="1180"/>
      <c r="N469" s="1180"/>
      <c r="O469" s="1180"/>
      <c r="P469" s="1180"/>
      <c r="Q469" s="1180"/>
      <c r="S469" s="1159"/>
      <c r="T469" s="1160"/>
      <c r="U469" s="1161"/>
      <c r="V469" s="1159"/>
      <c r="W469" s="1160"/>
      <c r="X469" s="1161"/>
      <c r="Y469" s="1159"/>
      <c r="Z469" s="1160"/>
      <c r="AA469" s="1161"/>
      <c r="AB469" s="1159"/>
      <c r="AC469" s="1160"/>
      <c r="AD469" s="1161"/>
      <c r="AE469" s="1159"/>
      <c r="AF469" s="1161"/>
      <c r="AG469" s="1159"/>
      <c r="AH469" s="1160"/>
      <c r="AI469" s="1160"/>
      <c r="AJ469" s="1160"/>
      <c r="AK469" s="1160"/>
      <c r="AL469" s="1160"/>
      <c r="AM469" s="83"/>
    </row>
    <row r="470" spans="2:39" ht="18" customHeight="1">
      <c r="B470" s="1164"/>
      <c r="C470" s="192">
        <v>13</v>
      </c>
      <c r="D470" s="1179" t="s">
        <v>396</v>
      </c>
      <c r="E470" s="1180"/>
      <c r="F470" s="1180"/>
      <c r="G470" s="1180"/>
      <c r="H470" s="1180"/>
      <c r="I470" s="1180"/>
      <c r="J470" s="1180"/>
      <c r="K470" s="1180"/>
      <c r="L470" s="1180"/>
      <c r="M470" s="1180"/>
      <c r="N470" s="1180"/>
      <c r="O470" s="1180"/>
      <c r="P470" s="1180"/>
      <c r="Q470" s="1180"/>
      <c r="R470" s="90"/>
      <c r="S470" s="1200"/>
      <c r="T470" s="1202"/>
      <c r="U470" s="1201"/>
      <c r="V470" s="1200"/>
      <c r="W470" s="1202"/>
      <c r="X470" s="1201"/>
      <c r="Y470" s="1200"/>
      <c r="Z470" s="1202"/>
      <c r="AA470" s="1201"/>
      <c r="AB470" s="1200"/>
      <c r="AC470" s="1202"/>
      <c r="AD470" s="1201"/>
      <c r="AE470" s="1200"/>
      <c r="AF470" s="1201"/>
      <c r="AG470" s="1159"/>
      <c r="AH470" s="1160"/>
      <c r="AI470" s="1160"/>
      <c r="AJ470" s="1160"/>
      <c r="AK470" s="1160"/>
      <c r="AL470" s="1160"/>
      <c r="AM470" s="83"/>
    </row>
    <row r="471" spans="2:39" ht="17.25" customHeight="1">
      <c r="B471" s="1164"/>
      <c r="C471" s="192">
        <v>14</v>
      </c>
      <c r="D471" s="1179" t="s">
        <v>397</v>
      </c>
      <c r="E471" s="1180"/>
      <c r="F471" s="1180"/>
      <c r="G471" s="1180"/>
      <c r="H471" s="1180"/>
      <c r="I471" s="1180"/>
      <c r="J471" s="1180"/>
      <c r="K471" s="1180"/>
      <c r="L471" s="1180"/>
      <c r="M471" s="1180"/>
      <c r="N471" s="1180"/>
      <c r="O471" s="1180"/>
      <c r="P471" s="1180"/>
      <c r="Q471" s="1180"/>
      <c r="S471" s="1310" t="s">
        <v>854</v>
      </c>
      <c r="T471" s="1311"/>
      <c r="U471" s="1312"/>
      <c r="V471" s="1206" t="s">
        <v>854</v>
      </c>
      <c r="W471" s="1207"/>
      <c r="X471" s="1208"/>
      <c r="Y471" s="1206" t="s">
        <v>854</v>
      </c>
      <c r="Z471" s="1207"/>
      <c r="AA471" s="1208"/>
      <c r="AB471" s="1206" t="s">
        <v>854</v>
      </c>
      <c r="AC471" s="1207"/>
      <c r="AD471" s="1208"/>
      <c r="AE471" s="1206" t="s">
        <v>854</v>
      </c>
      <c r="AF471" s="1208"/>
      <c r="AG471" s="1206" t="s">
        <v>854</v>
      </c>
      <c r="AH471" s="1207"/>
      <c r="AI471" s="1207"/>
      <c r="AJ471" s="1207"/>
      <c r="AK471" s="1207"/>
      <c r="AL471" s="1207"/>
      <c r="AM471" s="83"/>
    </row>
    <row r="472" spans="2:39" ht="27" customHeight="1">
      <c r="B472" s="1164"/>
      <c r="C472" s="192">
        <v>15</v>
      </c>
      <c r="D472" s="1179" t="s">
        <v>399</v>
      </c>
      <c r="E472" s="1180"/>
      <c r="F472" s="1180"/>
      <c r="G472" s="1180"/>
      <c r="H472" s="1180"/>
      <c r="I472" s="1180"/>
      <c r="J472" s="1180"/>
      <c r="K472" s="1180"/>
      <c r="L472" s="1180"/>
      <c r="M472" s="1180"/>
      <c r="N472" s="1180"/>
      <c r="O472" s="1180"/>
      <c r="P472" s="1180"/>
      <c r="Q472" s="1180"/>
      <c r="R472" s="90"/>
      <c r="S472" s="1200"/>
      <c r="T472" s="1202"/>
      <c r="U472" s="1201"/>
      <c r="V472" s="1159"/>
      <c r="W472" s="1160"/>
      <c r="X472" s="1161"/>
      <c r="Y472" s="1159"/>
      <c r="Z472" s="1160"/>
      <c r="AA472" s="1161"/>
      <c r="AB472" s="1159"/>
      <c r="AC472" s="1160"/>
      <c r="AD472" s="1161"/>
      <c r="AE472" s="1159"/>
      <c r="AF472" s="1161"/>
      <c r="AG472" s="1159"/>
      <c r="AH472" s="1160"/>
      <c r="AI472" s="1160"/>
      <c r="AJ472" s="1160"/>
      <c r="AK472" s="1160"/>
      <c r="AL472" s="1160"/>
      <c r="AM472" s="83"/>
    </row>
    <row r="473" spans="2:39" ht="18" customHeight="1">
      <c r="B473" s="1164"/>
      <c r="C473" s="192">
        <v>16</v>
      </c>
      <c r="D473" s="1177" t="s">
        <v>400</v>
      </c>
      <c r="E473" s="1178"/>
      <c r="F473" s="1178"/>
      <c r="G473" s="1178"/>
      <c r="H473" s="1178"/>
      <c r="I473" s="1178"/>
      <c r="J473" s="1178"/>
      <c r="K473" s="1178"/>
      <c r="L473" s="1178"/>
      <c r="M473" s="1178"/>
      <c r="N473" s="1178"/>
      <c r="O473" s="1178"/>
      <c r="P473" s="1178"/>
      <c r="Q473" s="1178"/>
      <c r="R473" s="1222"/>
      <c r="S473" s="1162"/>
      <c r="T473" s="1163"/>
      <c r="U473" s="1164"/>
      <c r="V473" s="1159"/>
      <c r="W473" s="1160"/>
      <c r="X473" s="1161"/>
      <c r="Y473" s="1159"/>
      <c r="Z473" s="1160"/>
      <c r="AA473" s="1161"/>
      <c r="AB473" s="1159"/>
      <c r="AC473" s="1160"/>
      <c r="AD473" s="1161"/>
      <c r="AE473" s="1159"/>
      <c r="AF473" s="1161"/>
      <c r="AG473" s="1159"/>
      <c r="AH473" s="1160"/>
      <c r="AI473" s="1160"/>
      <c r="AJ473" s="1160"/>
      <c r="AK473" s="1160"/>
      <c r="AL473" s="1160"/>
      <c r="AM473" s="83"/>
    </row>
    <row r="474" spans="2:39" ht="24" customHeight="1">
      <c r="B474" s="1167"/>
      <c r="C474" s="192">
        <v>17</v>
      </c>
      <c r="D474" s="1179" t="s">
        <v>401</v>
      </c>
      <c r="E474" s="1180"/>
      <c r="F474" s="1180"/>
      <c r="G474" s="1180"/>
      <c r="H474" s="1180"/>
      <c r="I474" s="1180"/>
      <c r="J474" s="1180"/>
      <c r="K474" s="1180"/>
      <c r="L474" s="1180"/>
      <c r="M474" s="1180"/>
      <c r="N474" s="1180"/>
      <c r="O474" s="1180"/>
      <c r="P474" s="1180"/>
      <c r="Q474" s="1180"/>
      <c r="R474" s="89"/>
      <c r="S474" s="1200"/>
      <c r="T474" s="1202"/>
      <c r="U474" s="1201"/>
      <c r="V474" s="1200"/>
      <c r="W474" s="1202"/>
      <c r="X474" s="1201"/>
      <c r="Y474" s="1200"/>
      <c r="Z474" s="1202"/>
      <c r="AA474" s="1201"/>
      <c r="AB474" s="1200"/>
      <c r="AC474" s="1202"/>
      <c r="AD474" s="1201"/>
      <c r="AE474" s="1200"/>
      <c r="AF474" s="1201"/>
      <c r="AG474" s="1200"/>
      <c r="AH474" s="1202"/>
      <c r="AI474" s="1202"/>
      <c r="AJ474" s="1202"/>
      <c r="AK474" s="1202"/>
      <c r="AL474" s="1202"/>
      <c r="AM474" s="83"/>
    </row>
    <row r="476" spans="2:39" ht="12.75">
      <c r="B476" s="1232" t="s">
        <v>535</v>
      </c>
      <c r="C476" s="1233"/>
      <c r="D476" s="1233"/>
      <c r="E476" s="1233"/>
      <c r="F476" s="1233"/>
      <c r="G476" s="136" t="s">
        <v>536</v>
      </c>
      <c r="H476" s="136"/>
      <c r="I476" s="136"/>
      <c r="J476" s="136"/>
      <c r="K476" s="136"/>
      <c r="L476" s="136"/>
      <c r="M476" s="136"/>
      <c r="N476" s="136"/>
      <c r="O476" s="136"/>
      <c r="P476" s="136"/>
      <c r="Q476" s="136"/>
      <c r="R476" s="136"/>
      <c r="S476" s="136"/>
      <c r="T476" s="136"/>
      <c r="U476" s="136"/>
      <c r="V476" s="136"/>
      <c r="W476" s="136"/>
      <c r="X476" s="136"/>
      <c r="Y476" s="136"/>
      <c r="Z476" s="136"/>
      <c r="AA476" s="136"/>
      <c r="AB476" s="136"/>
      <c r="AC476" s="136"/>
      <c r="AD476" s="136"/>
      <c r="AE476" s="136"/>
      <c r="AF476" s="136"/>
      <c r="AJ476" s="130" t="s">
        <v>849</v>
      </c>
    </row>
    <row r="477" spans="2:39">
      <c r="B477" s="1211" t="s">
        <v>123</v>
      </c>
      <c r="C477" s="115">
        <v>1</v>
      </c>
      <c r="D477" s="160" t="s">
        <v>381</v>
      </c>
      <c r="E477" s="90"/>
      <c r="F477" s="90"/>
      <c r="G477" s="90"/>
      <c r="H477" s="90"/>
      <c r="I477" s="90"/>
      <c r="J477" s="90"/>
      <c r="K477" s="90"/>
      <c r="L477" s="90"/>
      <c r="M477" s="90"/>
      <c r="N477" s="90"/>
      <c r="O477" s="90"/>
      <c r="P477" s="90"/>
      <c r="Q477" s="90"/>
      <c r="R477" s="90"/>
      <c r="S477" s="90"/>
      <c r="T477" s="90"/>
      <c r="U477" s="90"/>
      <c r="V477" s="90"/>
      <c r="W477" s="90"/>
      <c r="X477" s="90"/>
      <c r="Y477" s="90"/>
      <c r="Z477" s="90"/>
      <c r="AA477" s="90"/>
      <c r="AB477" s="90"/>
      <c r="AC477" s="90"/>
      <c r="AD477" s="90"/>
      <c r="AE477" s="1159"/>
      <c r="AF477" s="1160"/>
      <c r="AG477" s="1160"/>
      <c r="AH477" s="1160"/>
      <c r="AI477" s="1160"/>
      <c r="AJ477" s="1160"/>
      <c r="AK477" s="1160"/>
      <c r="AL477" s="1161"/>
      <c r="AM477" s="83"/>
    </row>
    <row r="478" spans="2:39" ht="17.100000000000001" customHeight="1">
      <c r="B478" s="1212"/>
      <c r="C478" s="1214"/>
      <c r="D478" s="148" t="s">
        <v>613</v>
      </c>
      <c r="E478" s="254" t="s">
        <v>124</v>
      </c>
      <c r="F478" s="90"/>
      <c r="G478" s="90"/>
      <c r="H478" s="90"/>
      <c r="I478" s="90"/>
      <c r="J478" s="90"/>
      <c r="K478" s="90"/>
      <c r="L478" s="90"/>
      <c r="M478" s="90"/>
      <c r="N478" s="90"/>
      <c r="O478" s="90"/>
      <c r="P478" s="90"/>
      <c r="Q478" s="90"/>
      <c r="R478" s="90"/>
      <c r="S478" s="90"/>
      <c r="T478" s="90"/>
      <c r="U478" s="90"/>
      <c r="V478" s="148" t="s">
        <v>812</v>
      </c>
      <c r="W478" s="90"/>
      <c r="X478" s="1156"/>
      <c r="Y478" s="1156"/>
      <c r="Z478" s="1156"/>
      <c r="AA478" s="1156"/>
      <c r="AB478" s="1156"/>
      <c r="AC478" s="90"/>
      <c r="AD478" s="247" t="s">
        <v>854</v>
      </c>
      <c r="AE478" s="1162"/>
      <c r="AF478" s="1163"/>
      <c r="AG478" s="1163"/>
      <c r="AH478" s="1163"/>
      <c r="AI478" s="1163"/>
      <c r="AJ478" s="1163"/>
      <c r="AK478" s="1163"/>
      <c r="AL478" s="1164"/>
      <c r="AM478" s="83"/>
    </row>
    <row r="479" spans="2:39" ht="17.100000000000001" customHeight="1">
      <c r="B479" s="1212"/>
      <c r="C479" s="1215"/>
      <c r="D479" s="153" t="s">
        <v>615</v>
      </c>
      <c r="E479" s="254" t="s">
        <v>436</v>
      </c>
      <c r="V479" s="153" t="s">
        <v>811</v>
      </c>
      <c r="X479" s="1156"/>
      <c r="Y479" s="1156"/>
      <c r="Z479" s="1156"/>
      <c r="AA479" s="1156"/>
      <c r="AB479" s="1156"/>
      <c r="AC479" s="90"/>
      <c r="AD479" s="247" t="s">
        <v>854</v>
      </c>
      <c r="AE479" s="1162"/>
      <c r="AF479" s="1163"/>
      <c r="AG479" s="1163"/>
      <c r="AH479" s="1163"/>
      <c r="AI479" s="1163"/>
      <c r="AJ479" s="1163"/>
      <c r="AK479" s="1163"/>
      <c r="AL479" s="1164"/>
      <c r="AM479" s="83"/>
    </row>
    <row r="480" spans="2:39" ht="17.100000000000001" customHeight="1">
      <c r="B480" s="1212"/>
      <c r="C480" s="1215"/>
      <c r="D480" s="148" t="s">
        <v>617</v>
      </c>
      <c r="E480" s="254" t="s">
        <v>880</v>
      </c>
      <c r="F480" s="90"/>
      <c r="G480" s="90"/>
      <c r="H480" s="90"/>
      <c r="I480" s="90"/>
      <c r="J480" s="90"/>
      <c r="K480" s="90"/>
      <c r="L480" s="90"/>
      <c r="M480" s="90"/>
      <c r="N480" s="90"/>
      <c r="O480" s="90"/>
      <c r="P480" s="90"/>
      <c r="Q480" s="90"/>
      <c r="R480" s="90"/>
      <c r="S480" s="90"/>
      <c r="T480" s="90"/>
      <c r="U480" s="90"/>
      <c r="V480" s="148" t="s">
        <v>813</v>
      </c>
      <c r="W480" s="90"/>
      <c r="X480" s="1156"/>
      <c r="Y480" s="1156"/>
      <c r="Z480" s="1156"/>
      <c r="AA480" s="1156"/>
      <c r="AB480" s="1156"/>
      <c r="AC480" s="90"/>
      <c r="AD480" s="247" t="s">
        <v>854</v>
      </c>
      <c r="AE480" s="1162"/>
      <c r="AF480" s="1163"/>
      <c r="AG480" s="1163"/>
      <c r="AH480" s="1163"/>
      <c r="AI480" s="1163"/>
      <c r="AJ480" s="1163"/>
      <c r="AK480" s="1163"/>
      <c r="AL480" s="1164"/>
      <c r="AM480" s="83"/>
    </row>
    <row r="481" spans="2:39" ht="17.100000000000001" customHeight="1">
      <c r="B481" s="1212"/>
      <c r="C481" s="1215"/>
      <c r="D481" s="153" t="s">
        <v>619</v>
      </c>
      <c r="E481" s="254" t="s">
        <v>437</v>
      </c>
      <c r="V481" s="153" t="s">
        <v>816</v>
      </c>
      <c r="X481" s="1156"/>
      <c r="Y481" s="1156"/>
      <c r="Z481" s="1156"/>
      <c r="AA481" s="1156"/>
      <c r="AB481" s="1156"/>
      <c r="AC481" s="90"/>
      <c r="AD481" s="247" t="s">
        <v>854</v>
      </c>
      <c r="AE481" s="1162"/>
      <c r="AF481" s="1163"/>
      <c r="AG481" s="1163"/>
      <c r="AH481" s="1163"/>
      <c r="AI481" s="1163"/>
      <c r="AJ481" s="1163"/>
      <c r="AK481" s="1163"/>
      <c r="AL481" s="1164"/>
      <c r="AM481" s="83"/>
    </row>
    <row r="482" spans="2:39" ht="17.100000000000001" customHeight="1">
      <c r="B482" s="1212"/>
      <c r="C482" s="1215"/>
      <c r="D482" s="148" t="s">
        <v>726</v>
      </c>
      <c r="E482" s="254" t="s">
        <v>438</v>
      </c>
      <c r="F482" s="90"/>
      <c r="G482" s="90"/>
      <c r="H482" s="90"/>
      <c r="I482" s="90"/>
      <c r="J482" s="90"/>
      <c r="K482" s="90"/>
      <c r="L482" s="90"/>
      <c r="M482" s="90"/>
      <c r="N482" s="90"/>
      <c r="O482" s="90"/>
      <c r="P482" s="90"/>
      <c r="Q482" s="90"/>
      <c r="R482" s="90"/>
      <c r="S482" s="90"/>
      <c r="T482" s="90"/>
      <c r="U482" s="90"/>
      <c r="V482" s="148" t="s">
        <v>817</v>
      </c>
      <c r="W482" s="90"/>
      <c r="X482" s="1156"/>
      <c r="Y482" s="1156"/>
      <c r="Z482" s="1156"/>
      <c r="AA482" s="1156"/>
      <c r="AB482" s="1156"/>
      <c r="AC482" s="90"/>
      <c r="AD482" s="247" t="s">
        <v>854</v>
      </c>
      <c r="AE482" s="1162"/>
      <c r="AF482" s="1163"/>
      <c r="AG482" s="1163"/>
      <c r="AH482" s="1163"/>
      <c r="AI482" s="1163"/>
      <c r="AJ482" s="1163"/>
      <c r="AK482" s="1163"/>
      <c r="AL482" s="1164"/>
      <c r="AM482" s="83"/>
    </row>
    <row r="483" spans="2:39" ht="17.100000000000001" customHeight="1">
      <c r="B483" s="1212"/>
      <c r="C483" s="1215"/>
      <c r="D483" s="153" t="s">
        <v>750</v>
      </c>
      <c r="E483" s="254" t="s">
        <v>439</v>
      </c>
      <c r="V483" s="153" t="s">
        <v>818</v>
      </c>
      <c r="X483" s="1156"/>
      <c r="Y483" s="1156"/>
      <c r="Z483" s="1156"/>
      <c r="AA483" s="1156"/>
      <c r="AB483" s="1156"/>
      <c r="AC483" s="90"/>
      <c r="AD483" s="247" t="s">
        <v>854</v>
      </c>
      <c r="AE483" s="1162"/>
      <c r="AF483" s="1163"/>
      <c r="AG483" s="1163"/>
      <c r="AH483" s="1163"/>
      <c r="AI483" s="1163"/>
      <c r="AJ483" s="1163"/>
      <c r="AK483" s="1163"/>
      <c r="AL483" s="1164"/>
      <c r="AM483" s="83"/>
    </row>
    <row r="484" spans="2:39" ht="17.100000000000001" customHeight="1">
      <c r="B484" s="1212"/>
      <c r="C484" s="1215"/>
      <c r="D484" s="148" t="s">
        <v>752</v>
      </c>
      <c r="E484" s="254" t="s">
        <v>440</v>
      </c>
      <c r="F484" s="90"/>
      <c r="G484" s="90"/>
      <c r="H484" s="90"/>
      <c r="I484" s="90"/>
      <c r="J484" s="90"/>
      <c r="K484" s="90"/>
      <c r="L484" s="90"/>
      <c r="M484" s="90"/>
      <c r="N484" s="90"/>
      <c r="O484" s="90"/>
      <c r="P484" s="90"/>
      <c r="Q484" s="90"/>
      <c r="R484" s="90"/>
      <c r="S484" s="90"/>
      <c r="T484" s="90"/>
      <c r="U484" s="90"/>
      <c r="V484" s="148" t="s">
        <v>819</v>
      </c>
      <c r="W484" s="90"/>
      <c r="X484" s="1156"/>
      <c r="Y484" s="1156"/>
      <c r="Z484" s="1156"/>
      <c r="AA484" s="1156"/>
      <c r="AB484" s="1156"/>
      <c r="AC484" s="90"/>
      <c r="AD484" s="247" t="s">
        <v>854</v>
      </c>
      <c r="AE484" s="1165"/>
      <c r="AF484" s="1166"/>
      <c r="AG484" s="1166"/>
      <c r="AH484" s="1166"/>
      <c r="AI484" s="1166"/>
      <c r="AJ484" s="1166"/>
      <c r="AK484" s="1166"/>
      <c r="AL484" s="1167"/>
      <c r="AM484" s="83"/>
    </row>
    <row r="485" spans="2:39" ht="17.100000000000001" customHeight="1">
      <c r="B485" s="1212"/>
      <c r="C485" s="1216"/>
      <c r="D485" s="148" t="s">
        <v>754</v>
      </c>
      <c r="E485" s="256" t="s">
        <v>537</v>
      </c>
      <c r="F485" s="90"/>
      <c r="G485" s="90"/>
      <c r="H485" s="90"/>
      <c r="I485" s="90"/>
      <c r="J485" s="90"/>
      <c r="K485" s="90"/>
      <c r="L485" s="90"/>
      <c r="M485" s="90"/>
      <c r="N485" s="90"/>
      <c r="O485" s="90"/>
      <c r="P485" s="90"/>
      <c r="Q485" s="90"/>
      <c r="R485" s="90"/>
      <c r="S485" s="90"/>
      <c r="T485" s="90"/>
      <c r="U485" s="90"/>
      <c r="V485" s="90"/>
      <c r="W485" s="90"/>
      <c r="X485" s="90"/>
      <c r="Y485" s="90"/>
      <c r="Z485" s="90"/>
      <c r="AA485" s="90"/>
      <c r="AB485" s="90"/>
      <c r="AC485" s="90"/>
      <c r="AD485" s="90"/>
      <c r="AE485" s="104" t="s">
        <v>820</v>
      </c>
      <c r="AF485" s="91"/>
      <c r="AG485" s="1155"/>
      <c r="AH485" s="1155"/>
      <c r="AI485" s="1155"/>
      <c r="AJ485" s="1155"/>
      <c r="AK485" s="1155"/>
      <c r="AL485" s="258" t="s">
        <v>854</v>
      </c>
      <c r="AM485" s="83"/>
    </row>
    <row r="486" spans="2:39" ht="17.100000000000001" customHeight="1">
      <c r="B486" s="1212"/>
      <c r="C486" s="148">
        <v>2</v>
      </c>
      <c r="D486" s="202" t="s">
        <v>403</v>
      </c>
      <c r="E486" s="136"/>
      <c r="AE486" s="1159"/>
      <c r="AF486" s="1160"/>
      <c r="AG486" s="1160"/>
      <c r="AH486" s="1160"/>
      <c r="AI486" s="1160"/>
      <c r="AJ486" s="1160"/>
      <c r="AK486" s="1160"/>
      <c r="AL486" s="1161"/>
      <c r="AM486" s="83"/>
    </row>
    <row r="487" spans="2:39" ht="17.100000000000001" customHeight="1">
      <c r="B487" s="1212"/>
      <c r="C487" s="1217"/>
      <c r="D487" s="148" t="s">
        <v>613</v>
      </c>
      <c r="E487" s="255" t="s">
        <v>125</v>
      </c>
      <c r="F487" s="90"/>
      <c r="G487" s="90"/>
      <c r="H487" s="90"/>
      <c r="I487" s="90"/>
      <c r="J487" s="90"/>
      <c r="K487" s="90"/>
      <c r="L487" s="90"/>
      <c r="M487" s="90"/>
      <c r="N487" s="90"/>
      <c r="O487" s="90"/>
      <c r="P487" s="90"/>
      <c r="Q487" s="90"/>
      <c r="R487" s="90"/>
      <c r="S487" s="90"/>
      <c r="T487" s="90"/>
      <c r="U487" s="90"/>
      <c r="V487" s="148" t="s">
        <v>787</v>
      </c>
      <c r="W487" s="90"/>
      <c r="X487" s="1156"/>
      <c r="Y487" s="1156"/>
      <c r="Z487" s="1156"/>
      <c r="AA487" s="1156"/>
      <c r="AB487" s="1156"/>
      <c r="AC487" s="90"/>
      <c r="AD487" s="247" t="s">
        <v>854</v>
      </c>
      <c r="AE487" s="1162"/>
      <c r="AF487" s="1163"/>
      <c r="AG487" s="1163"/>
      <c r="AH487" s="1163"/>
      <c r="AI487" s="1163"/>
      <c r="AJ487" s="1163"/>
      <c r="AK487" s="1163"/>
      <c r="AL487" s="1164"/>
      <c r="AM487" s="83"/>
    </row>
    <row r="488" spans="2:39" ht="17.100000000000001" customHeight="1">
      <c r="B488" s="1212"/>
      <c r="C488" s="1218"/>
      <c r="D488" s="145" t="s">
        <v>615</v>
      </c>
      <c r="E488" s="257" t="s">
        <v>126</v>
      </c>
      <c r="V488" s="153" t="s">
        <v>821</v>
      </c>
      <c r="W488" s="90"/>
      <c r="X488" s="1156"/>
      <c r="Y488" s="1156"/>
      <c r="Z488" s="1156"/>
      <c r="AA488" s="1156"/>
      <c r="AB488" s="1156"/>
      <c r="AC488" s="90"/>
      <c r="AD488" s="247" t="s">
        <v>854</v>
      </c>
      <c r="AE488" s="1162"/>
      <c r="AF488" s="1163"/>
      <c r="AG488" s="1163"/>
      <c r="AH488" s="1163"/>
      <c r="AI488" s="1163"/>
      <c r="AJ488" s="1163"/>
      <c r="AK488" s="1163"/>
      <c r="AL488" s="1164"/>
      <c r="AM488" s="83"/>
    </row>
    <row r="489" spans="2:39" ht="17.100000000000001" customHeight="1">
      <c r="B489" s="1212"/>
      <c r="C489" s="1218"/>
      <c r="D489" s="148" t="s">
        <v>617</v>
      </c>
      <c r="E489" s="255" t="s">
        <v>127</v>
      </c>
      <c r="F489" s="90"/>
      <c r="G489" s="90"/>
      <c r="H489" s="90"/>
      <c r="I489" s="90"/>
      <c r="J489" s="90"/>
      <c r="K489" s="90"/>
      <c r="L489" s="90"/>
      <c r="M489" s="90"/>
      <c r="N489" s="90"/>
      <c r="O489" s="90"/>
      <c r="P489" s="90"/>
      <c r="Q489" s="90"/>
      <c r="R489" s="90"/>
      <c r="S489" s="90"/>
      <c r="T489" s="90"/>
      <c r="U489" s="90"/>
      <c r="V489" s="148" t="s">
        <v>795</v>
      </c>
      <c r="W489" s="90"/>
      <c r="X489" s="1156"/>
      <c r="Y489" s="1156"/>
      <c r="Z489" s="1156"/>
      <c r="AA489" s="1156"/>
      <c r="AB489" s="1156"/>
      <c r="AC489" s="90"/>
      <c r="AD489" s="247" t="s">
        <v>854</v>
      </c>
      <c r="AE489" s="1165"/>
      <c r="AF489" s="1166"/>
      <c r="AG489" s="1166"/>
      <c r="AH489" s="1166"/>
      <c r="AI489" s="1166"/>
      <c r="AJ489" s="1166"/>
      <c r="AK489" s="1166"/>
      <c r="AL489" s="1167"/>
      <c r="AM489" s="83"/>
    </row>
    <row r="490" spans="2:39" ht="17.100000000000001" customHeight="1">
      <c r="B490" s="1212"/>
      <c r="C490" s="1219"/>
      <c r="D490" s="143" t="s">
        <v>619</v>
      </c>
      <c r="E490" s="202" t="s">
        <v>407</v>
      </c>
      <c r="AE490" s="153" t="s">
        <v>796</v>
      </c>
      <c r="AG490" s="1155"/>
      <c r="AH490" s="1155"/>
      <c r="AI490" s="1155"/>
      <c r="AJ490" s="1155"/>
      <c r="AK490" s="1155"/>
      <c r="AL490" s="258" t="s">
        <v>854</v>
      </c>
      <c r="AM490" s="83"/>
    </row>
    <row r="491" spans="2:39" ht="17.100000000000001" customHeight="1">
      <c r="B491" s="1212"/>
      <c r="C491" s="148">
        <v>3</v>
      </c>
      <c r="D491" s="138" t="s">
        <v>128</v>
      </c>
      <c r="E491" s="150"/>
      <c r="F491" s="90"/>
      <c r="G491" s="90"/>
      <c r="H491" s="90"/>
      <c r="I491" s="90"/>
      <c r="J491" s="90"/>
      <c r="K491" s="90"/>
      <c r="L491" s="90"/>
      <c r="M491" s="90"/>
      <c r="N491" s="90"/>
      <c r="O491" s="90"/>
      <c r="P491" s="90"/>
      <c r="Q491" s="90"/>
      <c r="R491" s="90"/>
      <c r="S491" s="90"/>
      <c r="T491" s="90"/>
      <c r="U491" s="90"/>
      <c r="V491" s="90"/>
      <c r="W491" s="90"/>
      <c r="X491" s="90"/>
      <c r="Y491" s="90"/>
      <c r="Z491" s="90"/>
      <c r="AA491" s="90"/>
      <c r="AB491" s="90"/>
      <c r="AC491" s="90"/>
      <c r="AD491" s="90"/>
      <c r="AE491" s="148">
        <v>3</v>
      </c>
      <c r="AF491" s="91"/>
      <c r="AG491" s="1155"/>
      <c r="AH491" s="1155"/>
      <c r="AI491" s="1155"/>
      <c r="AJ491" s="1155"/>
      <c r="AK491" s="1155"/>
      <c r="AL491" s="258" t="s">
        <v>854</v>
      </c>
      <c r="AM491" s="83"/>
    </row>
    <row r="492" spans="2:39" ht="17.100000000000001" customHeight="1">
      <c r="B492" s="1212"/>
      <c r="C492" s="148">
        <v>4</v>
      </c>
      <c r="D492" s="202" t="s">
        <v>441</v>
      </c>
      <c r="E492" s="136"/>
      <c r="AE492" s="153">
        <v>4</v>
      </c>
      <c r="AG492" s="1155"/>
      <c r="AH492" s="1155"/>
      <c r="AI492" s="1155"/>
      <c r="AJ492" s="1155"/>
      <c r="AK492" s="1155"/>
      <c r="AL492" s="258" t="s">
        <v>854</v>
      </c>
      <c r="AM492" s="83"/>
    </row>
    <row r="493" spans="2:39" ht="17.100000000000001" customHeight="1">
      <c r="B493" s="1212"/>
      <c r="C493" s="148">
        <v>5</v>
      </c>
      <c r="D493" s="138" t="s">
        <v>442</v>
      </c>
      <c r="E493" s="150"/>
      <c r="F493" s="90"/>
      <c r="G493" s="90"/>
      <c r="H493" s="90"/>
      <c r="I493" s="90"/>
      <c r="J493" s="90"/>
      <c r="K493" s="90"/>
      <c r="L493" s="90"/>
      <c r="M493" s="90"/>
      <c r="N493" s="90"/>
      <c r="O493" s="90"/>
      <c r="P493" s="90"/>
      <c r="Q493" s="90"/>
      <c r="R493" s="90"/>
      <c r="S493" s="90"/>
      <c r="T493" s="90"/>
      <c r="U493" s="90"/>
      <c r="V493" s="90"/>
      <c r="W493" s="90"/>
      <c r="X493" s="90"/>
      <c r="Y493" s="90"/>
      <c r="Z493" s="90"/>
      <c r="AA493" s="90"/>
      <c r="AB493" s="90"/>
      <c r="AC493" s="90"/>
      <c r="AD493" s="90"/>
      <c r="AE493" s="148">
        <v>5</v>
      </c>
      <c r="AF493" s="91"/>
      <c r="AG493" s="1155"/>
      <c r="AH493" s="1155"/>
      <c r="AI493" s="1155"/>
      <c r="AJ493" s="1155"/>
      <c r="AK493" s="1155"/>
      <c r="AL493" s="258" t="s">
        <v>854</v>
      </c>
      <c r="AM493" s="83"/>
    </row>
    <row r="494" spans="2:39" ht="17.100000000000001" customHeight="1">
      <c r="B494" s="1213"/>
      <c r="C494" s="148">
        <v>6</v>
      </c>
      <c r="D494" s="156" t="s">
        <v>408</v>
      </c>
      <c r="E494" s="150"/>
      <c r="F494" s="90"/>
      <c r="G494" s="90"/>
      <c r="H494" s="90"/>
      <c r="I494" s="90"/>
      <c r="J494" s="90"/>
      <c r="K494" s="90"/>
      <c r="L494" s="90"/>
      <c r="M494" s="90"/>
      <c r="N494" s="90"/>
      <c r="O494" s="90"/>
      <c r="P494" s="90"/>
      <c r="Q494" s="90"/>
      <c r="R494" s="90"/>
      <c r="S494" s="90"/>
      <c r="T494" s="90"/>
      <c r="U494" s="90"/>
      <c r="V494" s="90"/>
      <c r="W494" s="90"/>
      <c r="X494" s="90"/>
      <c r="Y494" s="90"/>
      <c r="Z494" s="90"/>
      <c r="AA494" s="90"/>
      <c r="AB494" s="90"/>
      <c r="AC494" s="90"/>
      <c r="AD494" s="90"/>
      <c r="AE494" s="148">
        <v>6</v>
      </c>
      <c r="AF494" s="91"/>
      <c r="AG494" s="1155"/>
      <c r="AH494" s="1155"/>
      <c r="AI494" s="1155"/>
      <c r="AJ494" s="1155"/>
      <c r="AK494" s="1155"/>
      <c r="AL494" s="258" t="s">
        <v>854</v>
      </c>
      <c r="AM494" s="83"/>
    </row>
    <row r="495" spans="2:39" ht="15.95" customHeight="1"/>
    <row r="496" spans="2:39" ht="15.95" customHeight="1">
      <c r="B496" s="1232" t="s">
        <v>538</v>
      </c>
      <c r="C496" s="1233"/>
      <c r="D496" s="1233"/>
      <c r="E496" s="1233"/>
      <c r="F496" s="1233"/>
      <c r="G496" s="136" t="s">
        <v>539</v>
      </c>
      <c r="H496" s="136"/>
      <c r="I496" s="136"/>
      <c r="J496" s="136"/>
      <c r="K496" s="136"/>
      <c r="L496" s="136"/>
      <c r="M496" s="136"/>
      <c r="N496" s="136"/>
      <c r="O496" s="136"/>
      <c r="P496" s="136"/>
      <c r="Q496" s="136"/>
      <c r="R496" s="136"/>
      <c r="S496" s="136"/>
      <c r="T496" s="136"/>
      <c r="U496" s="136"/>
      <c r="V496" s="136"/>
      <c r="W496" s="136"/>
      <c r="X496" s="136"/>
      <c r="Y496" s="136"/>
      <c r="Z496" s="136"/>
      <c r="AA496" s="136"/>
      <c r="AB496" s="136"/>
      <c r="AC496" s="136"/>
      <c r="AD496" s="136"/>
      <c r="AE496" s="136"/>
      <c r="AF496" s="136"/>
      <c r="AJ496" s="130" t="s">
        <v>849</v>
      </c>
    </row>
    <row r="497" spans="2:39" ht="15.95" customHeight="1">
      <c r="B497" s="1164"/>
      <c r="C497" s="145">
        <v>1</v>
      </c>
      <c r="D497" s="138" t="s">
        <v>381</v>
      </c>
      <c r="E497" s="150"/>
      <c r="F497" s="90"/>
      <c r="G497" s="90"/>
      <c r="H497" s="90"/>
      <c r="I497" s="90"/>
      <c r="J497" s="90"/>
      <c r="K497" s="90"/>
      <c r="L497" s="90"/>
      <c r="M497" s="90"/>
      <c r="N497" s="90"/>
      <c r="O497" s="90"/>
      <c r="P497" s="90"/>
      <c r="Q497" s="90"/>
      <c r="R497" s="90"/>
      <c r="S497" s="90"/>
      <c r="T497" s="90"/>
      <c r="U497" s="90"/>
      <c r="V497" s="90"/>
      <c r="W497" s="90"/>
      <c r="X497" s="90"/>
      <c r="Y497" s="90"/>
      <c r="Z497" s="90"/>
      <c r="AA497" s="90"/>
      <c r="AB497" s="90"/>
      <c r="AC497" s="90"/>
      <c r="AD497" s="90"/>
      <c r="AE497" s="1159"/>
      <c r="AF497" s="1160"/>
      <c r="AG497" s="1160"/>
      <c r="AH497" s="1160"/>
      <c r="AI497" s="1160"/>
      <c r="AJ497" s="1160"/>
      <c r="AK497" s="1160"/>
      <c r="AL497" s="1161"/>
      <c r="AM497" s="83"/>
    </row>
    <row r="498" spans="2:39" ht="17.100000000000001" customHeight="1">
      <c r="B498" s="1164"/>
      <c r="C498" s="1217"/>
      <c r="D498" s="153" t="s">
        <v>613</v>
      </c>
      <c r="E498" s="257" t="s">
        <v>129</v>
      </c>
      <c r="V498" s="153" t="s">
        <v>812</v>
      </c>
      <c r="W498" s="90"/>
      <c r="X498" s="1157">
        <v>0</v>
      </c>
      <c r="Y498" s="1156"/>
      <c r="Z498" s="1156"/>
      <c r="AA498" s="1156"/>
      <c r="AB498" s="1158"/>
      <c r="AC498" s="80"/>
      <c r="AD498" s="247" t="s">
        <v>854</v>
      </c>
      <c r="AE498" s="1162"/>
      <c r="AF498" s="1163"/>
      <c r="AG498" s="1163"/>
      <c r="AH498" s="1163"/>
      <c r="AI498" s="1163"/>
      <c r="AJ498" s="1163"/>
      <c r="AK498" s="1163"/>
      <c r="AL498" s="1164"/>
      <c r="AM498" s="83"/>
    </row>
    <row r="499" spans="2:39" ht="17.100000000000001" customHeight="1">
      <c r="B499" s="1164"/>
      <c r="C499" s="1218"/>
      <c r="D499" s="143" t="s">
        <v>540</v>
      </c>
      <c r="E499" s="255" t="s">
        <v>881</v>
      </c>
      <c r="F499" s="90"/>
      <c r="G499" s="90"/>
      <c r="H499" s="90"/>
      <c r="I499" s="90"/>
      <c r="J499" s="90"/>
      <c r="K499" s="90"/>
      <c r="L499" s="90"/>
      <c r="M499" s="90"/>
      <c r="N499" s="90"/>
      <c r="O499" s="90"/>
      <c r="P499" s="90"/>
      <c r="Q499" s="90"/>
      <c r="R499" s="90"/>
      <c r="S499" s="90"/>
      <c r="T499" s="90"/>
      <c r="U499" s="90"/>
      <c r="V499" s="148" t="s">
        <v>811</v>
      </c>
      <c r="W499" s="90"/>
      <c r="X499" s="1157">
        <v>0</v>
      </c>
      <c r="Y499" s="1156"/>
      <c r="Z499" s="1156"/>
      <c r="AA499" s="1156"/>
      <c r="AB499" s="1158"/>
      <c r="AC499" s="80"/>
      <c r="AD499" s="247" t="s">
        <v>854</v>
      </c>
      <c r="AE499" s="1162"/>
      <c r="AF499" s="1163"/>
      <c r="AG499" s="1163"/>
      <c r="AH499" s="1163"/>
      <c r="AI499" s="1163"/>
      <c r="AJ499" s="1163"/>
      <c r="AK499" s="1163"/>
      <c r="AL499" s="1164"/>
      <c r="AM499" s="83"/>
    </row>
    <row r="500" spans="2:39" ht="17.100000000000001" customHeight="1">
      <c r="B500" s="1164"/>
      <c r="C500" s="1218"/>
      <c r="D500" s="143" t="s">
        <v>617</v>
      </c>
      <c r="E500" s="257" t="s">
        <v>130</v>
      </c>
      <c r="V500" s="153" t="s">
        <v>813</v>
      </c>
      <c r="W500" s="90"/>
      <c r="X500" s="1157">
        <v>0</v>
      </c>
      <c r="Y500" s="1156"/>
      <c r="Z500" s="1156"/>
      <c r="AA500" s="1156"/>
      <c r="AB500" s="1158"/>
      <c r="AC500" s="80"/>
      <c r="AD500" s="247" t="s">
        <v>854</v>
      </c>
      <c r="AE500" s="1162"/>
      <c r="AF500" s="1163"/>
      <c r="AG500" s="1163"/>
      <c r="AH500" s="1163"/>
      <c r="AI500" s="1163"/>
      <c r="AJ500" s="1163"/>
      <c r="AK500" s="1163"/>
      <c r="AL500" s="1164"/>
      <c r="AM500" s="83"/>
    </row>
    <row r="501" spans="2:39" ht="17.100000000000001" customHeight="1">
      <c r="B501" s="1164"/>
      <c r="C501" s="1218"/>
      <c r="D501" s="148" t="s">
        <v>619</v>
      </c>
      <c r="E501" s="255" t="s">
        <v>131</v>
      </c>
      <c r="F501" s="90"/>
      <c r="G501" s="90"/>
      <c r="H501" s="90"/>
      <c r="I501" s="90"/>
      <c r="J501" s="90"/>
      <c r="K501" s="90"/>
      <c r="L501" s="90"/>
      <c r="M501" s="90"/>
      <c r="N501" s="90"/>
      <c r="O501" s="90"/>
      <c r="P501" s="90"/>
      <c r="Q501" s="90"/>
      <c r="R501" s="90"/>
      <c r="S501" s="90"/>
      <c r="T501" s="90"/>
      <c r="U501" s="90"/>
      <c r="V501" s="148" t="s">
        <v>816</v>
      </c>
      <c r="W501" s="90"/>
      <c r="X501" s="1157">
        <v>0</v>
      </c>
      <c r="Y501" s="1156"/>
      <c r="Z501" s="1156"/>
      <c r="AA501" s="1156"/>
      <c r="AB501" s="1158"/>
      <c r="AC501" s="80"/>
      <c r="AD501" s="247" t="s">
        <v>854</v>
      </c>
      <c r="AE501" s="1162"/>
      <c r="AF501" s="1163"/>
      <c r="AG501" s="1163"/>
      <c r="AH501" s="1163"/>
      <c r="AI501" s="1163"/>
      <c r="AJ501" s="1163"/>
      <c r="AK501" s="1163"/>
      <c r="AL501" s="1164"/>
      <c r="AM501" s="83"/>
    </row>
    <row r="502" spans="2:39" ht="17.100000000000001" customHeight="1">
      <c r="B502" s="1164"/>
      <c r="C502" s="1218"/>
      <c r="D502" s="148" t="s">
        <v>726</v>
      </c>
      <c r="E502" s="257" t="s">
        <v>132</v>
      </c>
      <c r="V502" s="153" t="s">
        <v>817</v>
      </c>
      <c r="W502" s="90"/>
      <c r="X502" s="1157">
        <v>0</v>
      </c>
      <c r="Y502" s="1156"/>
      <c r="Z502" s="1156"/>
      <c r="AA502" s="1156"/>
      <c r="AB502" s="1158"/>
      <c r="AC502" s="80"/>
      <c r="AD502" s="247" t="s">
        <v>854</v>
      </c>
      <c r="AE502" s="1162"/>
      <c r="AF502" s="1163"/>
      <c r="AG502" s="1163"/>
      <c r="AH502" s="1163"/>
      <c r="AI502" s="1163"/>
      <c r="AJ502" s="1163"/>
      <c r="AK502" s="1163"/>
      <c r="AL502" s="1164"/>
      <c r="AM502" s="83"/>
    </row>
    <row r="503" spans="2:39" ht="17.100000000000001" customHeight="1">
      <c r="B503" s="1164"/>
      <c r="C503" s="1218"/>
      <c r="D503" s="148" t="s">
        <v>750</v>
      </c>
      <c r="E503" s="255" t="s">
        <v>133</v>
      </c>
      <c r="F503" s="90"/>
      <c r="G503" s="90"/>
      <c r="H503" s="90"/>
      <c r="I503" s="90"/>
      <c r="J503" s="90"/>
      <c r="K503" s="90"/>
      <c r="L503" s="90"/>
      <c r="M503" s="90"/>
      <c r="N503" s="90"/>
      <c r="O503" s="90"/>
      <c r="P503" s="90"/>
      <c r="Q503" s="90"/>
      <c r="R503" s="90"/>
      <c r="S503" s="90"/>
      <c r="T503" s="90"/>
      <c r="U503" s="90"/>
      <c r="V503" s="148" t="s">
        <v>818</v>
      </c>
      <c r="W503" s="90"/>
      <c r="X503" s="1157">
        <v>0</v>
      </c>
      <c r="Y503" s="1156"/>
      <c r="Z503" s="1156"/>
      <c r="AA503" s="1156"/>
      <c r="AB503" s="1158"/>
      <c r="AC503" s="80"/>
      <c r="AD503" s="247" t="s">
        <v>854</v>
      </c>
      <c r="AE503" s="1162"/>
      <c r="AF503" s="1163"/>
      <c r="AG503" s="1163"/>
      <c r="AH503" s="1163"/>
      <c r="AI503" s="1163"/>
      <c r="AJ503" s="1163"/>
      <c r="AK503" s="1163"/>
      <c r="AL503" s="1164"/>
      <c r="AM503" s="83"/>
    </row>
    <row r="504" spans="2:39" ht="17.100000000000001" customHeight="1">
      <c r="B504" s="1164"/>
      <c r="C504" s="1219"/>
      <c r="D504" s="148" t="s">
        <v>752</v>
      </c>
      <c r="E504" s="255" t="s">
        <v>136</v>
      </c>
      <c r="F504" s="90"/>
      <c r="G504" s="90"/>
      <c r="H504" s="90"/>
      <c r="I504" s="90"/>
      <c r="J504" s="90"/>
      <c r="K504" s="90"/>
      <c r="L504" s="90"/>
      <c r="M504" s="90"/>
      <c r="N504" s="90"/>
      <c r="O504" s="90"/>
      <c r="P504" s="90"/>
      <c r="Q504" s="90"/>
      <c r="R504" s="90"/>
      <c r="S504" s="90"/>
      <c r="T504" s="90"/>
      <c r="U504" s="90"/>
      <c r="V504" s="148" t="s">
        <v>819</v>
      </c>
      <c r="W504" s="90"/>
      <c r="X504" s="1157">
        <v>0</v>
      </c>
      <c r="Y504" s="1156"/>
      <c r="Z504" s="1156"/>
      <c r="AA504" s="1156"/>
      <c r="AB504" s="1158"/>
      <c r="AC504" s="80"/>
      <c r="AD504" s="247" t="s">
        <v>854</v>
      </c>
      <c r="AE504" s="1165"/>
      <c r="AF504" s="1166"/>
      <c r="AG504" s="1166"/>
      <c r="AH504" s="1166"/>
      <c r="AI504" s="1166"/>
      <c r="AJ504" s="1166"/>
      <c r="AK504" s="1166"/>
      <c r="AL504" s="1167"/>
      <c r="AM504" s="83"/>
    </row>
    <row r="505" spans="2:39" ht="12.75">
      <c r="AE505" s="125" t="s">
        <v>492</v>
      </c>
      <c r="AF505" s="1168" t="s">
        <v>907</v>
      </c>
      <c r="AG505" s="1168"/>
      <c r="AH505" s="1168"/>
      <c r="AI505" s="1168"/>
      <c r="AJ505" s="132" t="s">
        <v>541</v>
      </c>
      <c r="AK505" s="131"/>
      <c r="AL505" s="133">
        <v>9.06</v>
      </c>
    </row>
    <row r="506" spans="2:39">
      <c r="B506" s="80"/>
      <c r="C506" s="80"/>
      <c r="D506" s="80"/>
      <c r="E506" s="80"/>
      <c r="F506" s="80"/>
      <c r="G506" s="80"/>
      <c r="H506" s="80"/>
      <c r="I506" s="80"/>
      <c r="J506" s="80"/>
      <c r="K506" s="80"/>
      <c r="L506" s="80"/>
      <c r="M506" s="80"/>
      <c r="N506" s="80"/>
      <c r="O506" s="80"/>
      <c r="P506" s="80"/>
      <c r="Q506" s="80"/>
      <c r="R506" s="80"/>
      <c r="S506" s="80"/>
      <c r="T506" s="80"/>
      <c r="U506" s="80"/>
      <c r="V506" s="80"/>
      <c r="W506" s="80"/>
      <c r="X506" s="80"/>
      <c r="Y506" s="80"/>
      <c r="Z506" s="80"/>
      <c r="AA506" s="80"/>
      <c r="AB506" s="80"/>
      <c r="AC506" s="80"/>
      <c r="AD506" s="80"/>
      <c r="AE506" s="80"/>
    </row>
    <row r="507" spans="2:39" ht="15" customHeight="1">
      <c r="C507" s="104"/>
      <c r="D507" s="148" t="s">
        <v>754</v>
      </c>
      <c r="E507" s="138" t="s">
        <v>542</v>
      </c>
      <c r="F507" s="90"/>
      <c r="G507" s="90"/>
      <c r="H507" s="90"/>
      <c r="I507" s="90"/>
      <c r="J507" s="90"/>
      <c r="K507" s="90"/>
      <c r="L507" s="90"/>
      <c r="M507" s="90"/>
      <c r="N507" s="90"/>
      <c r="O507" s="90"/>
      <c r="P507" s="90"/>
      <c r="Q507" s="90"/>
      <c r="R507" s="90"/>
      <c r="S507" s="90"/>
      <c r="T507" s="90"/>
      <c r="U507" s="90"/>
      <c r="V507" s="90"/>
      <c r="W507" s="90"/>
      <c r="X507" s="90"/>
      <c r="Y507" s="90"/>
      <c r="Z507" s="90"/>
      <c r="AA507" s="90"/>
      <c r="AB507" s="90"/>
      <c r="AC507" s="90"/>
      <c r="AD507" s="90"/>
      <c r="AE507" s="104" t="s">
        <v>820</v>
      </c>
      <c r="AF507" s="120"/>
      <c r="AG507" s="1155"/>
      <c r="AH507" s="1155"/>
      <c r="AI507" s="1155"/>
      <c r="AJ507" s="1155"/>
      <c r="AK507" s="1155"/>
      <c r="AL507" s="258" t="s">
        <v>854</v>
      </c>
      <c r="AM507" s="83"/>
    </row>
    <row r="508" spans="2:39" ht="15" customHeight="1">
      <c r="B508" s="1164"/>
      <c r="C508" s="148">
        <v>2</v>
      </c>
      <c r="D508" s="138" t="s">
        <v>403</v>
      </c>
      <c r="E508" s="150"/>
      <c r="F508" s="90"/>
      <c r="G508" s="90"/>
      <c r="H508" s="90"/>
      <c r="I508" s="90"/>
      <c r="J508" s="90"/>
      <c r="K508" s="90"/>
      <c r="L508" s="90"/>
      <c r="M508" s="90"/>
      <c r="N508" s="90"/>
      <c r="O508" s="90"/>
      <c r="P508" s="90"/>
      <c r="Q508" s="90"/>
      <c r="R508" s="90"/>
      <c r="S508" s="90"/>
      <c r="T508" s="90"/>
      <c r="U508" s="90"/>
      <c r="V508" s="90"/>
      <c r="W508" s="90"/>
      <c r="X508" s="90"/>
      <c r="Y508" s="90"/>
      <c r="Z508" s="90"/>
      <c r="AA508" s="90"/>
      <c r="AB508" s="90"/>
      <c r="AC508" s="90"/>
      <c r="AD508" s="90"/>
      <c r="AE508" s="1159"/>
      <c r="AF508" s="1160"/>
      <c r="AG508" s="1160"/>
      <c r="AH508" s="1160"/>
      <c r="AI508" s="1160"/>
      <c r="AJ508" s="1160"/>
      <c r="AK508" s="1160"/>
      <c r="AL508" s="1161"/>
      <c r="AM508" s="83"/>
    </row>
    <row r="509" spans="2:39" ht="27.75" customHeight="1">
      <c r="B509" s="1164"/>
      <c r="C509" s="1217"/>
      <c r="D509" s="185" t="s">
        <v>613</v>
      </c>
      <c r="E509" s="1179" t="s">
        <v>137</v>
      </c>
      <c r="F509" s="1180"/>
      <c r="G509" s="1180"/>
      <c r="H509" s="1180"/>
      <c r="I509" s="1180"/>
      <c r="J509" s="1180"/>
      <c r="K509" s="1180"/>
      <c r="L509" s="1180"/>
      <c r="M509" s="1180"/>
      <c r="N509" s="1180"/>
      <c r="O509" s="1180"/>
      <c r="P509" s="1180"/>
      <c r="Q509" s="1180"/>
      <c r="R509" s="1180"/>
      <c r="S509" s="1180"/>
      <c r="T509" s="1180"/>
      <c r="U509" s="90"/>
      <c r="V509" s="185" t="s">
        <v>787</v>
      </c>
      <c r="W509" s="90"/>
      <c r="X509" s="1157">
        <v>0</v>
      </c>
      <c r="Y509" s="1156"/>
      <c r="Z509" s="1156"/>
      <c r="AA509" s="1156"/>
      <c r="AB509" s="1158"/>
      <c r="AC509" s="80"/>
      <c r="AD509" s="259" t="s">
        <v>854</v>
      </c>
      <c r="AE509" s="1162"/>
      <c r="AF509" s="1163"/>
      <c r="AG509" s="1163"/>
      <c r="AH509" s="1163"/>
      <c r="AI509" s="1163"/>
      <c r="AJ509" s="1163"/>
      <c r="AK509" s="1163"/>
      <c r="AL509" s="1164"/>
      <c r="AM509" s="83"/>
    </row>
    <row r="510" spans="2:39" ht="29.25" customHeight="1">
      <c r="B510" s="1164"/>
      <c r="C510" s="1218"/>
      <c r="D510" s="185" t="s">
        <v>615</v>
      </c>
      <c r="E510" s="1179" t="s">
        <v>466</v>
      </c>
      <c r="F510" s="1180"/>
      <c r="G510" s="1180"/>
      <c r="H510" s="1180"/>
      <c r="I510" s="1180"/>
      <c r="J510" s="1180"/>
      <c r="K510" s="1180"/>
      <c r="L510" s="1180"/>
      <c r="M510" s="1180"/>
      <c r="N510" s="1180"/>
      <c r="O510" s="1180"/>
      <c r="P510" s="1180"/>
      <c r="Q510" s="1180"/>
      <c r="R510" s="1180"/>
      <c r="S510" s="1180"/>
      <c r="T510" s="1180"/>
      <c r="U510" s="90"/>
      <c r="V510" s="185" t="s">
        <v>821</v>
      </c>
      <c r="W510" s="90"/>
      <c r="X510" s="1157">
        <v>0</v>
      </c>
      <c r="Y510" s="1156"/>
      <c r="Z510" s="1156"/>
      <c r="AA510" s="1156"/>
      <c r="AB510" s="1158"/>
      <c r="AC510" s="80"/>
      <c r="AD510" s="259" t="s">
        <v>854</v>
      </c>
      <c r="AE510" s="1162"/>
      <c r="AF510" s="1163"/>
      <c r="AG510" s="1163"/>
      <c r="AH510" s="1163"/>
      <c r="AI510" s="1163"/>
      <c r="AJ510" s="1163"/>
      <c r="AK510" s="1163"/>
      <c r="AL510" s="1164"/>
      <c r="AM510" s="83"/>
    </row>
    <row r="511" spans="2:39" ht="28.5" customHeight="1">
      <c r="B511" s="1164"/>
      <c r="C511" s="1218"/>
      <c r="D511" s="185" t="s">
        <v>617</v>
      </c>
      <c r="E511" s="1179" t="s">
        <v>882</v>
      </c>
      <c r="F511" s="1180"/>
      <c r="G511" s="1180"/>
      <c r="H511" s="1180"/>
      <c r="I511" s="1180"/>
      <c r="J511" s="1180"/>
      <c r="K511" s="1180"/>
      <c r="L511" s="1180"/>
      <c r="M511" s="1180"/>
      <c r="N511" s="1180"/>
      <c r="O511" s="1180"/>
      <c r="P511" s="1180"/>
      <c r="Q511" s="1180"/>
      <c r="R511" s="1180"/>
      <c r="S511" s="1180"/>
      <c r="T511" s="1180"/>
      <c r="V511" s="185" t="s">
        <v>795</v>
      </c>
      <c r="W511" s="90"/>
      <c r="X511" s="1157">
        <v>0</v>
      </c>
      <c r="Y511" s="1156"/>
      <c r="Z511" s="1156"/>
      <c r="AA511" s="1156"/>
      <c r="AB511" s="1158"/>
      <c r="AC511" s="80"/>
      <c r="AD511" s="259" t="s">
        <v>854</v>
      </c>
      <c r="AE511" s="1165"/>
      <c r="AF511" s="1166"/>
      <c r="AG511" s="1166"/>
      <c r="AH511" s="1166"/>
      <c r="AI511" s="1166"/>
      <c r="AJ511" s="1166"/>
      <c r="AK511" s="1166"/>
      <c r="AL511" s="1167"/>
      <c r="AM511" s="83"/>
    </row>
    <row r="512" spans="2:39" ht="14.1" customHeight="1">
      <c r="B512" s="1164"/>
      <c r="C512" s="1219"/>
      <c r="D512" s="148" t="s">
        <v>619</v>
      </c>
      <c r="E512" s="140" t="s">
        <v>409</v>
      </c>
      <c r="F512" s="90"/>
      <c r="G512" s="90"/>
      <c r="H512" s="90"/>
      <c r="I512" s="90"/>
      <c r="J512" s="90"/>
      <c r="K512" s="90"/>
      <c r="L512" s="90"/>
      <c r="M512" s="90"/>
      <c r="N512" s="90"/>
      <c r="O512" s="90"/>
      <c r="P512" s="90"/>
      <c r="Q512" s="90"/>
      <c r="R512" s="90"/>
      <c r="S512" s="90"/>
      <c r="T512" s="90"/>
      <c r="U512" s="90"/>
      <c r="V512" s="90"/>
      <c r="W512" s="90"/>
      <c r="X512" s="90"/>
      <c r="Y512" s="90"/>
      <c r="Z512" s="90"/>
      <c r="AA512" s="90"/>
      <c r="AB512" s="90"/>
      <c r="AC512" s="90"/>
      <c r="AD512" s="90"/>
      <c r="AE512" s="148" t="s">
        <v>796</v>
      </c>
      <c r="AF512" s="91"/>
      <c r="AG512" s="1155"/>
      <c r="AH512" s="1155"/>
      <c r="AI512" s="1155"/>
      <c r="AJ512" s="1155"/>
      <c r="AK512" s="1155"/>
      <c r="AL512" s="258" t="s">
        <v>854</v>
      </c>
      <c r="AM512" s="83"/>
    </row>
    <row r="513" spans="2:39" ht="14.1" customHeight="1">
      <c r="B513" s="1164"/>
      <c r="C513" s="148">
        <v>3</v>
      </c>
      <c r="D513" s="138" t="s">
        <v>467</v>
      </c>
      <c r="E513" s="138"/>
      <c r="F513" s="90"/>
      <c r="G513" s="90"/>
      <c r="H513" s="90"/>
      <c r="I513" s="90"/>
      <c r="J513" s="90"/>
      <c r="K513" s="90"/>
      <c r="L513" s="90"/>
      <c r="M513" s="90"/>
      <c r="N513" s="90"/>
      <c r="O513" s="90"/>
      <c r="P513" s="90"/>
      <c r="Q513" s="90"/>
      <c r="R513" s="90"/>
      <c r="S513" s="90"/>
      <c r="T513" s="90"/>
      <c r="U513" s="90"/>
      <c r="V513" s="90"/>
      <c r="W513" s="90"/>
      <c r="X513" s="90"/>
      <c r="Y513" s="90"/>
      <c r="Z513" s="90"/>
      <c r="AA513" s="90"/>
      <c r="AB513" s="90"/>
      <c r="AC513" s="90"/>
      <c r="AD513" s="90"/>
      <c r="AE513" s="148">
        <v>3</v>
      </c>
      <c r="AF513" s="91"/>
      <c r="AG513" s="1155"/>
      <c r="AH513" s="1155"/>
      <c r="AI513" s="1155"/>
      <c r="AJ513" s="1155"/>
      <c r="AK513" s="1155"/>
      <c r="AL513" s="258" t="s">
        <v>854</v>
      </c>
      <c r="AM513" s="83"/>
    </row>
    <row r="514" spans="2:39" ht="14.1" customHeight="1">
      <c r="B514" s="1164"/>
      <c r="C514" s="148">
        <v>4</v>
      </c>
      <c r="D514" s="156" t="s">
        <v>468</v>
      </c>
      <c r="E514" s="156"/>
      <c r="F514" s="80"/>
      <c r="G514" s="80"/>
      <c r="H514" s="80"/>
      <c r="I514" s="80"/>
      <c r="J514" s="80"/>
      <c r="K514" s="80"/>
      <c r="L514" s="80"/>
      <c r="M514" s="80"/>
      <c r="N514" s="80"/>
      <c r="O514" s="80"/>
      <c r="P514" s="80"/>
      <c r="Q514" s="80"/>
      <c r="R514" s="80"/>
      <c r="S514" s="80"/>
      <c r="T514" s="80"/>
      <c r="U514" s="80"/>
      <c r="V514" s="80"/>
      <c r="W514" s="80"/>
      <c r="X514" s="80"/>
      <c r="Y514" s="80"/>
      <c r="Z514" s="80"/>
      <c r="AA514" s="80"/>
      <c r="AB514" s="80"/>
      <c r="AC514" s="80"/>
      <c r="AD514" s="80"/>
      <c r="AE514" s="145">
        <v>4</v>
      </c>
      <c r="AF514" s="86"/>
      <c r="AG514" s="1155"/>
      <c r="AH514" s="1155"/>
      <c r="AI514" s="1155"/>
      <c r="AJ514" s="1155"/>
      <c r="AK514" s="1155"/>
      <c r="AL514" s="258" t="s">
        <v>854</v>
      </c>
      <c r="AM514" s="83"/>
    </row>
    <row r="515" spans="2:39" ht="14.1" customHeight="1">
      <c r="B515" s="1164"/>
      <c r="C515" s="148">
        <v>5</v>
      </c>
      <c r="D515" s="154" t="s">
        <v>469</v>
      </c>
      <c r="E515" s="136"/>
      <c r="AE515" s="153">
        <v>5</v>
      </c>
      <c r="AG515" s="1155"/>
      <c r="AH515" s="1155"/>
      <c r="AI515" s="1155"/>
      <c r="AJ515" s="1155"/>
      <c r="AK515" s="1155"/>
      <c r="AL515" s="258" t="s">
        <v>854</v>
      </c>
      <c r="AM515" s="83"/>
    </row>
    <row r="516" spans="2:39" ht="14.1" customHeight="1">
      <c r="B516" s="1167"/>
      <c r="C516" s="148">
        <v>6</v>
      </c>
      <c r="D516" s="138" t="s">
        <v>543</v>
      </c>
      <c r="E516" s="150"/>
      <c r="F516" s="90"/>
      <c r="G516" s="90"/>
      <c r="H516" s="90"/>
      <c r="I516" s="90"/>
      <c r="J516" s="90"/>
      <c r="K516" s="90"/>
      <c r="L516" s="90"/>
      <c r="M516" s="90"/>
      <c r="N516" s="90"/>
      <c r="O516" s="90"/>
      <c r="P516" s="90"/>
      <c r="Q516" s="90"/>
      <c r="R516" s="90"/>
      <c r="S516" s="90"/>
      <c r="T516" s="90"/>
      <c r="U516" s="90"/>
      <c r="V516" s="90"/>
      <c r="W516" s="90"/>
      <c r="X516" s="90"/>
      <c r="Y516" s="90"/>
      <c r="Z516" s="90"/>
      <c r="AA516" s="90"/>
      <c r="AB516" s="90"/>
      <c r="AC516" s="90"/>
      <c r="AD516" s="90"/>
      <c r="AE516" s="148">
        <v>6</v>
      </c>
      <c r="AF516" s="91"/>
      <c r="AG516" s="1155"/>
      <c r="AH516" s="1155"/>
      <c r="AI516" s="1155"/>
      <c r="AJ516" s="1155"/>
      <c r="AK516" s="1155"/>
      <c r="AL516" s="258" t="s">
        <v>854</v>
      </c>
      <c r="AM516" s="83"/>
    </row>
  </sheetData>
  <mergeCells count="878">
    <mergeCell ref="AE19:AG19"/>
    <mergeCell ref="AE12:AG12"/>
    <mergeCell ref="AE13:AG13"/>
    <mergeCell ref="AE14:AG14"/>
    <mergeCell ref="AE15:AG15"/>
    <mergeCell ref="AE16:AG16"/>
    <mergeCell ref="AE17:AG17"/>
    <mergeCell ref="AE24:AG24"/>
    <mergeCell ref="AE25:AG25"/>
    <mergeCell ref="AE20:AG20"/>
    <mergeCell ref="AE21:AG21"/>
    <mergeCell ref="AE22:AG22"/>
    <mergeCell ref="AE23:AG23"/>
    <mergeCell ref="AE7:AG7"/>
    <mergeCell ref="AE9:AG9"/>
    <mergeCell ref="AE10:AG10"/>
    <mergeCell ref="AE11:AG11"/>
    <mergeCell ref="AE8:AG8"/>
    <mergeCell ref="O18:Q18"/>
    <mergeCell ref="O8:Q8"/>
    <mergeCell ref="O7:Q7"/>
    <mergeCell ref="O9:Q9"/>
    <mergeCell ref="O16:Q16"/>
    <mergeCell ref="O17:Q17"/>
    <mergeCell ref="O12:Q12"/>
    <mergeCell ref="O13:Q13"/>
    <mergeCell ref="O14:Q14"/>
    <mergeCell ref="O15:Q15"/>
    <mergeCell ref="O10:Q10"/>
    <mergeCell ref="O11:Q11"/>
    <mergeCell ref="AE18:AG18"/>
    <mergeCell ref="AE28:AG28"/>
    <mergeCell ref="AE29:AG29"/>
    <mergeCell ref="AE26:AG26"/>
    <mergeCell ref="AE27:AG27"/>
    <mergeCell ref="O21:Q21"/>
    <mergeCell ref="O22:Q22"/>
    <mergeCell ref="O23:Q23"/>
    <mergeCell ref="O25:Q25"/>
    <mergeCell ref="O26:Q26"/>
    <mergeCell ref="O27:Q27"/>
    <mergeCell ref="O28:Q28"/>
    <mergeCell ref="S446:U446"/>
    <mergeCell ref="D449:Q449"/>
    <mergeCell ref="O19:Q19"/>
    <mergeCell ref="O20:Q20"/>
    <mergeCell ref="V446:X446"/>
    <mergeCell ref="S449:U449"/>
    <mergeCell ref="V449:X449"/>
    <mergeCell ref="D455:R456"/>
    <mergeCell ref="B453:F453"/>
    <mergeCell ref="B454:B459"/>
    <mergeCell ref="C455:C456"/>
    <mergeCell ref="D457:Q457"/>
    <mergeCell ref="X360:AB360"/>
    <mergeCell ref="X358:AB358"/>
    <mergeCell ref="S447:U447"/>
    <mergeCell ref="V447:X447"/>
    <mergeCell ref="S445:U445"/>
    <mergeCell ref="V448:X448"/>
    <mergeCell ref="S448:U448"/>
    <mergeCell ref="X308:AB308"/>
    <mergeCell ref="X363:AB363"/>
    <mergeCell ref="X365:AB365"/>
    <mergeCell ref="X366:AB366"/>
    <mergeCell ref="X387:AB387"/>
    <mergeCell ref="E297:T297"/>
    <mergeCell ref="F292:T292"/>
    <mergeCell ref="X297:AB297"/>
    <mergeCell ref="E295:AB295"/>
    <mergeCell ref="D327:AB327"/>
    <mergeCell ref="D291:D294"/>
    <mergeCell ref="AG448:AI448"/>
    <mergeCell ref="AG449:AI449"/>
    <mergeCell ref="Y449:AA449"/>
    <mergeCell ref="D447:Q447"/>
    <mergeCell ref="AG416:AK416"/>
    <mergeCell ref="X370:AB370"/>
    <mergeCell ref="AE402:AL408"/>
    <mergeCell ref="X411:AB411"/>
    <mergeCell ref="X408:AB408"/>
    <mergeCell ref="AG415:AK415"/>
    <mergeCell ref="AE410:AL414"/>
    <mergeCell ref="E383:T383"/>
    <mergeCell ref="E385:T385"/>
    <mergeCell ref="E376:E377"/>
    <mergeCell ref="E380:T380"/>
    <mergeCell ref="E384:T384"/>
    <mergeCell ref="X380:AB380"/>
    <mergeCell ref="X405:AB405"/>
    <mergeCell ref="E309:T309"/>
    <mergeCell ref="E314:T314"/>
    <mergeCell ref="D303:AB303"/>
    <mergeCell ref="E305:T305"/>
    <mergeCell ref="E300:T300"/>
    <mergeCell ref="X321:AB321"/>
    <mergeCell ref="C338:C353"/>
    <mergeCell ref="C332:C336"/>
    <mergeCell ref="D339:D346"/>
    <mergeCell ref="D348:D353"/>
    <mergeCell ref="E317:T317"/>
    <mergeCell ref="X309:AB309"/>
    <mergeCell ref="X313:AB313"/>
    <mergeCell ref="X312:AB312"/>
    <mergeCell ref="X314:AB314"/>
    <mergeCell ref="X304:AB304"/>
    <mergeCell ref="AG351:AK351"/>
    <mergeCell ref="AG352:AK352"/>
    <mergeCell ref="AG350:AK350"/>
    <mergeCell ref="AG349:AK349"/>
    <mergeCell ref="AG343:AK343"/>
    <mergeCell ref="AG345:AK345"/>
    <mergeCell ref="AG344:AK344"/>
    <mergeCell ref="E369:T369"/>
    <mergeCell ref="E374:E375"/>
    <mergeCell ref="X369:AB369"/>
    <mergeCell ref="AG346:AK346"/>
    <mergeCell ref="AF362:AI362"/>
    <mergeCell ref="AE363:AL366"/>
    <mergeCell ref="X368:AB368"/>
    <mergeCell ref="X364:AB364"/>
    <mergeCell ref="W374:AB375"/>
    <mergeCell ref="V374:V375"/>
    <mergeCell ref="X359:AB359"/>
    <mergeCell ref="AE356:AL356"/>
    <mergeCell ref="AG353:AK353"/>
    <mergeCell ref="AE368:AL370"/>
    <mergeCell ref="E360:T360"/>
    <mergeCell ref="AG334:AK334"/>
    <mergeCell ref="AE337:AL338"/>
    <mergeCell ref="AG342:AK342"/>
    <mergeCell ref="AG318:AK318"/>
    <mergeCell ref="AG340:AK340"/>
    <mergeCell ref="AG332:AK332"/>
    <mergeCell ref="AG336:AK336"/>
    <mergeCell ref="AG339:AK339"/>
    <mergeCell ref="AG348:AK348"/>
    <mergeCell ref="AG324:AK324"/>
    <mergeCell ref="AG327:AK327"/>
    <mergeCell ref="AG333:AK333"/>
    <mergeCell ref="AF328:AI328"/>
    <mergeCell ref="AE347:AL347"/>
    <mergeCell ref="AG302:AK302"/>
    <mergeCell ref="E298:T298"/>
    <mergeCell ref="X322:AB322"/>
    <mergeCell ref="X323:AB323"/>
    <mergeCell ref="X317:AB317"/>
    <mergeCell ref="E313:T313"/>
    <mergeCell ref="E312:T312"/>
    <mergeCell ref="X316:AB316"/>
    <mergeCell ref="AB474:AD474"/>
    <mergeCell ref="X301:AB301"/>
    <mergeCell ref="AB473:AD473"/>
    <mergeCell ref="V468:X468"/>
    <mergeCell ref="X307:AB307"/>
    <mergeCell ref="D311:AB311"/>
    <mergeCell ref="X315:AB315"/>
    <mergeCell ref="E308:T308"/>
    <mergeCell ref="AG310:AK310"/>
    <mergeCell ref="AE296:AL301"/>
    <mergeCell ref="AE303:AL309"/>
    <mergeCell ref="X300:AB300"/>
    <mergeCell ref="AG335:AK335"/>
    <mergeCell ref="AE331:AL331"/>
    <mergeCell ref="AG325:AK325"/>
    <mergeCell ref="AG326:AK326"/>
    <mergeCell ref="AE311:AL317"/>
    <mergeCell ref="AE319:AL323"/>
    <mergeCell ref="AG341:AK341"/>
    <mergeCell ref="D474:Q474"/>
    <mergeCell ref="Y474:AA474"/>
    <mergeCell ref="V474:X474"/>
    <mergeCell ref="V473:X473"/>
    <mergeCell ref="V472:X472"/>
    <mergeCell ref="Y472:AA472"/>
    <mergeCell ref="V462:X462"/>
    <mergeCell ref="Y462:AA462"/>
    <mergeCell ref="V465:X465"/>
    <mergeCell ref="Y465:AA465"/>
    <mergeCell ref="V464:X464"/>
    <mergeCell ref="Y464:AA464"/>
    <mergeCell ref="V463:X463"/>
    <mergeCell ref="Y463:AA463"/>
    <mergeCell ref="D463:Q463"/>
    <mergeCell ref="D469:Q469"/>
    <mergeCell ref="D462:Q462"/>
    <mergeCell ref="D466:Q466"/>
    <mergeCell ref="D465:Q465"/>
    <mergeCell ref="D468:Q468"/>
    <mergeCell ref="D464:Q464"/>
    <mergeCell ref="S451:U451"/>
    <mergeCell ref="V451:X451"/>
    <mergeCell ref="Y451:AA451"/>
    <mergeCell ref="S470:U470"/>
    <mergeCell ref="D472:Q472"/>
    <mergeCell ref="S471:U471"/>
    <mergeCell ref="D451:Q451"/>
    <mergeCell ref="D454:R454"/>
    <mergeCell ref="S454:AA454"/>
    <mergeCell ref="D459:Q459"/>
    <mergeCell ref="D458:Q458"/>
    <mergeCell ref="V469:X469"/>
    <mergeCell ref="Y469:AA469"/>
    <mergeCell ref="V459:X459"/>
    <mergeCell ref="S457:U457"/>
    <mergeCell ref="S458:U458"/>
    <mergeCell ref="V458:X458"/>
    <mergeCell ref="S459:U459"/>
    <mergeCell ref="S455:U455"/>
    <mergeCell ref="V456:X456"/>
    <mergeCell ref="V457:X457"/>
    <mergeCell ref="S456:U456"/>
    <mergeCell ref="Y468:AA468"/>
    <mergeCell ref="V466:X466"/>
    <mergeCell ref="V467:X467"/>
    <mergeCell ref="AB472:AD472"/>
    <mergeCell ref="AE472:AF472"/>
    <mergeCell ref="AG472:AL472"/>
    <mergeCell ref="AB469:AD469"/>
    <mergeCell ref="AB467:AD467"/>
    <mergeCell ref="AE471:AF471"/>
    <mergeCell ref="AE467:AF467"/>
    <mergeCell ref="AB466:AD466"/>
    <mergeCell ref="V471:X471"/>
    <mergeCell ref="V470:X470"/>
    <mergeCell ref="Y467:AA467"/>
    <mergeCell ref="AB458:AD458"/>
    <mergeCell ref="E509:T509"/>
    <mergeCell ref="S474:U474"/>
    <mergeCell ref="B496:F496"/>
    <mergeCell ref="B462:B474"/>
    <mergeCell ref="S469:U469"/>
    <mergeCell ref="D467:Q467"/>
    <mergeCell ref="D473:R473"/>
    <mergeCell ref="S462:U462"/>
    <mergeCell ref="D470:Q470"/>
    <mergeCell ref="D471:Q471"/>
    <mergeCell ref="S472:U472"/>
    <mergeCell ref="S466:U466"/>
    <mergeCell ref="S468:U468"/>
    <mergeCell ref="S467:U467"/>
    <mergeCell ref="B476:F476"/>
    <mergeCell ref="S465:U465"/>
    <mergeCell ref="S463:U463"/>
    <mergeCell ref="S464:U464"/>
    <mergeCell ref="C498:C504"/>
    <mergeCell ref="C509:C512"/>
    <mergeCell ref="B497:B504"/>
    <mergeCell ref="B508:B516"/>
    <mergeCell ref="E511:T511"/>
    <mergeCell ref="S473:U473"/>
    <mergeCell ref="AG422:AK422"/>
    <mergeCell ref="S434:AL434"/>
    <mergeCell ref="AJ436:AL436"/>
    <mergeCell ref="V438:X438"/>
    <mergeCell ref="S439:U439"/>
    <mergeCell ref="S438:U438"/>
    <mergeCell ref="AG424:AK424"/>
    <mergeCell ref="AG423:AK423"/>
    <mergeCell ref="S436:U436"/>
    <mergeCell ref="S435:U435"/>
    <mergeCell ref="S437:U437"/>
    <mergeCell ref="AG426:AK426"/>
    <mergeCell ref="AE435:AF435"/>
    <mergeCell ref="AJ435:AL435"/>
    <mergeCell ref="AG427:AK427"/>
    <mergeCell ref="AG435:AI435"/>
    <mergeCell ref="AJ437:AL437"/>
    <mergeCell ref="AG429:AK429"/>
    <mergeCell ref="AG428:AK428"/>
    <mergeCell ref="V435:X435"/>
    <mergeCell ref="Y435:AA435"/>
    <mergeCell ref="V439:X439"/>
    <mergeCell ref="Y438:AA438"/>
    <mergeCell ref="B225:B229"/>
    <mergeCell ref="B218:B224"/>
    <mergeCell ref="B133:B147"/>
    <mergeCell ref="B148:B185"/>
    <mergeCell ref="B125:B131"/>
    <mergeCell ref="C178:C182"/>
    <mergeCell ref="C151:C158"/>
    <mergeCell ref="E392:T392"/>
    <mergeCell ref="E389:T389"/>
    <mergeCell ref="E316:T316"/>
    <mergeCell ref="C357:C361"/>
    <mergeCell ref="B355:F355"/>
    <mergeCell ref="E381:T381"/>
    <mergeCell ref="E387:T387"/>
    <mergeCell ref="E382:T382"/>
    <mergeCell ref="E391:T391"/>
    <mergeCell ref="B331:B353"/>
    <mergeCell ref="C297:C302"/>
    <mergeCell ref="C304:C310"/>
    <mergeCell ref="C320:C324"/>
    <mergeCell ref="C312:C318"/>
    <mergeCell ref="E315:T315"/>
    <mergeCell ref="E278:T278"/>
    <mergeCell ref="B291:B327"/>
    <mergeCell ref="C34:C41"/>
    <mergeCell ref="C125:C126"/>
    <mergeCell ref="B57:B69"/>
    <mergeCell ref="B33:B56"/>
    <mergeCell ref="C43:C54"/>
    <mergeCell ref="C128:C131"/>
    <mergeCell ref="B123:F124"/>
    <mergeCell ref="C118:C122"/>
    <mergeCell ref="A76:AB76"/>
    <mergeCell ref="B78:B115"/>
    <mergeCell ref="X36:AB36"/>
    <mergeCell ref="X37:AB37"/>
    <mergeCell ref="X38:AB38"/>
    <mergeCell ref="E86:E88"/>
    <mergeCell ref="X39:AB39"/>
    <mergeCell ref="D36:D40"/>
    <mergeCell ref="X44:AB44"/>
    <mergeCell ref="X46:AB46"/>
    <mergeCell ref="D51:D53"/>
    <mergeCell ref="X58:AB58"/>
    <mergeCell ref="C70:C73"/>
    <mergeCell ref="S83:AA83"/>
    <mergeCell ref="X82:AB82"/>
    <mergeCell ref="X94:AB94"/>
    <mergeCell ref="X47:AB47"/>
    <mergeCell ref="X51:AB51"/>
    <mergeCell ref="X52:AB52"/>
    <mergeCell ref="X71:AB71"/>
    <mergeCell ref="X48:AB48"/>
    <mergeCell ref="X108:AB108"/>
    <mergeCell ref="D92:D95"/>
    <mergeCell ref="E79:E83"/>
    <mergeCell ref="D78:D90"/>
    <mergeCell ref="X80:AB80"/>
    <mergeCell ref="X79:AB79"/>
    <mergeCell ref="X81:AB81"/>
    <mergeCell ref="X86:AB86"/>
    <mergeCell ref="X92:AB92"/>
    <mergeCell ref="AG473:AL473"/>
    <mergeCell ref="AG463:AL463"/>
    <mergeCell ref="AE465:AF465"/>
    <mergeCell ref="AG464:AL464"/>
    <mergeCell ref="AG466:AL466"/>
    <mergeCell ref="AG474:AL474"/>
    <mergeCell ref="AE473:AF473"/>
    <mergeCell ref="AE450:AF450"/>
    <mergeCell ref="AB463:AD463"/>
    <mergeCell ref="AB462:AD462"/>
    <mergeCell ref="AE455:AF455"/>
    <mergeCell ref="AE462:AF462"/>
    <mergeCell ref="AB459:AD459"/>
    <mergeCell ref="AB455:AD455"/>
    <mergeCell ref="AG471:AL471"/>
    <mergeCell ref="AG468:AL468"/>
    <mergeCell ref="AB454:AD454"/>
    <mergeCell ref="AJ451:AL451"/>
    <mergeCell ref="AG456:AL456"/>
    <mergeCell ref="AE456:AF456"/>
    <mergeCell ref="AB470:AD470"/>
    <mergeCell ref="AB465:AD465"/>
    <mergeCell ref="AG462:AL462"/>
    <mergeCell ref="AB464:AD464"/>
    <mergeCell ref="AG49:AK49"/>
    <mergeCell ref="X69:AB69"/>
    <mergeCell ref="D237:AC237"/>
    <mergeCell ref="D98:D110"/>
    <mergeCell ref="X107:AB107"/>
    <mergeCell ref="X105:AB105"/>
    <mergeCell ref="X102:AB102"/>
    <mergeCell ref="X101:AB101"/>
    <mergeCell ref="AG229:AK229"/>
    <mergeCell ref="AG72:AK72"/>
    <mergeCell ref="AG73:AK73"/>
    <mergeCell ref="AG226:AK226"/>
    <mergeCell ref="AG185:AK185"/>
    <mergeCell ref="AG187:AK187"/>
    <mergeCell ref="AF132:AI132"/>
    <mergeCell ref="AG189:AK189"/>
    <mergeCell ref="AG195:AK195"/>
    <mergeCell ref="X61:AB61"/>
    <mergeCell ref="X112:AB112"/>
    <mergeCell ref="AG148:AK148"/>
    <mergeCell ref="AG227:AK227"/>
    <mergeCell ref="AG228:AK228"/>
    <mergeCell ref="X140:AB140"/>
    <mergeCell ref="X137:AB137"/>
    <mergeCell ref="B31:F32"/>
    <mergeCell ref="E105:E109"/>
    <mergeCell ref="X106:AB106"/>
    <mergeCell ref="X93:AB93"/>
    <mergeCell ref="E99:E103"/>
    <mergeCell ref="X100:AB100"/>
    <mergeCell ref="X87:AB87"/>
    <mergeCell ref="AE50:AL52"/>
    <mergeCell ref="X139:AB139"/>
    <mergeCell ref="AG53:AK53"/>
    <mergeCell ref="X70:AB70"/>
    <mergeCell ref="AE74:AL75"/>
    <mergeCell ref="AF76:AI76"/>
    <mergeCell ref="AG54:AK54"/>
    <mergeCell ref="AG55:AK55"/>
    <mergeCell ref="X129:AB129"/>
    <mergeCell ref="X135:AB135"/>
    <mergeCell ref="X99:AB99"/>
    <mergeCell ref="AE33:AL33"/>
    <mergeCell ref="AE35:AL39"/>
    <mergeCell ref="AE42:AL48"/>
    <mergeCell ref="AG34:AK34"/>
    <mergeCell ref="AG40:AK40"/>
    <mergeCell ref="AG41:AK41"/>
    <mergeCell ref="B356:B361"/>
    <mergeCell ref="E359:T359"/>
    <mergeCell ref="D44:D49"/>
    <mergeCell ref="E46:E48"/>
    <mergeCell ref="D70:D72"/>
    <mergeCell ref="B117:B122"/>
    <mergeCell ref="B248:B289"/>
    <mergeCell ref="C276:C284"/>
    <mergeCell ref="X60:AB60"/>
    <mergeCell ref="C291:C295"/>
    <mergeCell ref="X136:AB136"/>
    <mergeCell ref="X66:AB66"/>
    <mergeCell ref="X65:AB65"/>
    <mergeCell ref="X59:AB59"/>
    <mergeCell ref="X252:AB252"/>
    <mergeCell ref="X255:AB255"/>
    <mergeCell ref="X260:AB260"/>
    <mergeCell ref="X256:AB256"/>
    <mergeCell ref="C113:C115"/>
    <mergeCell ref="C166:C176"/>
    <mergeCell ref="C202:C207"/>
    <mergeCell ref="C226:C229"/>
    <mergeCell ref="C213:C214"/>
    <mergeCell ref="B187:B217"/>
    <mergeCell ref="C286:C289"/>
    <mergeCell ref="X280:AB280"/>
    <mergeCell ref="X278:AB278"/>
    <mergeCell ref="X270:AB270"/>
    <mergeCell ref="X265:AB265"/>
    <mergeCell ref="X277:AB277"/>
    <mergeCell ref="X268:AB268"/>
    <mergeCell ref="X276:AB276"/>
    <mergeCell ref="E280:T280"/>
    <mergeCell ref="D286:D289"/>
    <mergeCell ref="X289:AB289"/>
    <mergeCell ref="X288:AB288"/>
    <mergeCell ref="X281:AB281"/>
    <mergeCell ref="X283:AB283"/>
    <mergeCell ref="X287:AB287"/>
    <mergeCell ref="X286:AB286"/>
    <mergeCell ref="E277:T277"/>
    <mergeCell ref="F286:U286"/>
    <mergeCell ref="X272:AB272"/>
    <mergeCell ref="X282:AB282"/>
    <mergeCell ref="AG84:AK84"/>
    <mergeCell ref="AG83:AK83"/>
    <mergeCell ref="AE85:AL87"/>
    <mergeCell ref="AG90:AK90"/>
    <mergeCell ref="C240:C243"/>
    <mergeCell ref="C252:C257"/>
    <mergeCell ref="C248:C250"/>
    <mergeCell ref="C259:C274"/>
    <mergeCell ref="B232:B243"/>
    <mergeCell ref="X259:AB259"/>
    <mergeCell ref="X271:AB271"/>
    <mergeCell ref="X269:AB269"/>
    <mergeCell ref="X261:AB261"/>
    <mergeCell ref="X267:AB267"/>
    <mergeCell ref="X254:AB254"/>
    <mergeCell ref="X266:AB266"/>
    <mergeCell ref="E260:T260"/>
    <mergeCell ref="X273:AB273"/>
    <mergeCell ref="X262:AB262"/>
    <mergeCell ref="X263:AB263"/>
    <mergeCell ref="X264:AB264"/>
    <mergeCell ref="C135:C145"/>
    <mergeCell ref="C78:C111"/>
    <mergeCell ref="E140:T140"/>
    <mergeCell ref="AG199:AK199"/>
    <mergeCell ref="AG193:AK193"/>
    <mergeCell ref="AG196:AK196"/>
    <mergeCell ref="AG197:AK197"/>
    <mergeCell ref="AG56:AK56"/>
    <mergeCell ref="AE57:AL61"/>
    <mergeCell ref="AE63:AL66"/>
    <mergeCell ref="AG62:AK62"/>
    <mergeCell ref="AE97:AL98"/>
    <mergeCell ref="AG88:AK88"/>
    <mergeCell ref="AG89:AK89"/>
    <mergeCell ref="AG115:AK115"/>
    <mergeCell ref="AG161:AK161"/>
    <mergeCell ref="AG67:AK67"/>
    <mergeCell ref="AE68:AL71"/>
    <mergeCell ref="AG149:AK149"/>
    <mergeCell ref="AG133:AK133"/>
    <mergeCell ref="AG158:AK158"/>
    <mergeCell ref="AG159:AK159"/>
    <mergeCell ref="AG125:AK126"/>
    <mergeCell ref="AG160:AK160"/>
    <mergeCell ref="AE78:AL82"/>
    <mergeCell ref="AG122:AK122"/>
    <mergeCell ref="AE117:AL118"/>
    <mergeCell ref="X152:AB152"/>
    <mergeCell ref="AG116:AK116"/>
    <mergeCell ref="X113:AB113"/>
    <mergeCell ref="AG95:AK95"/>
    <mergeCell ref="AG103:AK103"/>
    <mergeCell ref="AG111:AK111"/>
    <mergeCell ref="AG96:AK96"/>
    <mergeCell ref="AE91:AL94"/>
    <mergeCell ref="AL213:AL214"/>
    <mergeCell ref="AG207:AK207"/>
    <mergeCell ref="AG211:AK211"/>
    <mergeCell ref="AE213:AE214"/>
    <mergeCell ref="AG208:AK208"/>
    <mergeCell ref="AG213:AK214"/>
    <mergeCell ref="AG210:AK210"/>
    <mergeCell ref="AF213:AF214"/>
    <mergeCell ref="AE99:AL102"/>
    <mergeCell ref="AG109:AK109"/>
    <mergeCell ref="AG110:AK110"/>
    <mergeCell ref="AG182:AK182"/>
    <mergeCell ref="AF186:AI186"/>
    <mergeCell ref="AG183:AK183"/>
    <mergeCell ref="AG184:AK184"/>
    <mergeCell ref="AG163:AK163"/>
    <mergeCell ref="X114:AB114"/>
    <mergeCell ref="E175:T175"/>
    <mergeCell ref="X175:AB175"/>
    <mergeCell ref="X179:AB179"/>
    <mergeCell ref="X138:AB138"/>
    <mergeCell ref="AE127:AL131"/>
    <mergeCell ref="AG119:AK119"/>
    <mergeCell ref="AG120:AK120"/>
    <mergeCell ref="AG121:AK121"/>
    <mergeCell ref="X141:AB141"/>
    <mergeCell ref="X142:AB142"/>
    <mergeCell ref="X153:AB153"/>
    <mergeCell ref="X173:AB173"/>
    <mergeCell ref="X174:AB174"/>
    <mergeCell ref="X154:AB154"/>
    <mergeCell ref="X128:AB128"/>
    <mergeCell ref="X130:AB130"/>
    <mergeCell ref="X143:AB143"/>
    <mergeCell ref="X166:AB166"/>
    <mergeCell ref="X155:AB155"/>
    <mergeCell ref="X151:AB151"/>
    <mergeCell ref="X144:AB144"/>
    <mergeCell ref="X171:AB171"/>
    <mergeCell ref="X131:AB131"/>
    <mergeCell ref="AG190:AK190"/>
    <mergeCell ref="AG188:AK188"/>
    <mergeCell ref="AE166:AL175"/>
    <mergeCell ref="AL125:AL126"/>
    <mergeCell ref="AE125:AE126"/>
    <mergeCell ref="AG191:AK191"/>
    <mergeCell ref="AG192:AK192"/>
    <mergeCell ref="AG194:AK194"/>
    <mergeCell ref="AE134:AL144"/>
    <mergeCell ref="AG145:AK145"/>
    <mergeCell ref="AG146:AK146"/>
    <mergeCell ref="AG147:AK147"/>
    <mergeCell ref="AE150:AL157"/>
    <mergeCell ref="AG162:AK162"/>
    <mergeCell ref="AE177:AL181"/>
    <mergeCell ref="AG176:AK176"/>
    <mergeCell ref="AG164:AK164"/>
    <mergeCell ref="AG198:AK198"/>
    <mergeCell ref="E282:T282"/>
    <mergeCell ref="X279:AB279"/>
    <mergeCell ref="X168:AB168"/>
    <mergeCell ref="X169:AB169"/>
    <mergeCell ref="X167:AB167"/>
    <mergeCell ref="X156:AB156"/>
    <mergeCell ref="X157:AB157"/>
    <mergeCell ref="X172:AB172"/>
    <mergeCell ref="AG200:AK200"/>
    <mergeCell ref="AG218:AK218"/>
    <mergeCell ref="AG215:AK215"/>
    <mergeCell ref="AG212:AK212"/>
    <mergeCell ref="AG216:AK216"/>
    <mergeCell ref="AG217:AK217"/>
    <mergeCell ref="AG209:AK209"/>
    <mergeCell ref="AE201:AL206"/>
    <mergeCell ref="X170:AB170"/>
    <mergeCell ref="X178:AB178"/>
    <mergeCell ref="X180:AB180"/>
    <mergeCell ref="X181:AB181"/>
    <mergeCell ref="X253:AB253"/>
    <mergeCell ref="X202:AB202"/>
    <mergeCell ref="X206:AB206"/>
    <mergeCell ref="X204:AB204"/>
    <mergeCell ref="E250:AB250"/>
    <mergeCell ref="E253:T253"/>
    <mergeCell ref="E259:T259"/>
    <mergeCell ref="X205:AB205"/>
    <mergeCell ref="X203:AB203"/>
    <mergeCell ref="B433:F433"/>
    <mergeCell ref="D440:Q440"/>
    <mergeCell ref="D446:Q446"/>
    <mergeCell ref="D435:R436"/>
    <mergeCell ref="D441:Q441"/>
    <mergeCell ref="X412:AB412"/>
    <mergeCell ref="V436:X436"/>
    <mergeCell ref="X419:AB419"/>
    <mergeCell ref="Y442:AA442"/>
    <mergeCell ref="AB443:AD443"/>
    <mergeCell ref="AB444:AD444"/>
    <mergeCell ref="AB436:AD436"/>
    <mergeCell ref="D225:AC225"/>
    <mergeCell ref="E304:T304"/>
    <mergeCell ref="V376:V377"/>
    <mergeCell ref="G355:AF355"/>
    <mergeCell ref="D363:D366"/>
    <mergeCell ref="D374:D378"/>
    <mergeCell ref="B410:B430"/>
    <mergeCell ref="C411:C424"/>
    <mergeCell ref="C426:C429"/>
    <mergeCell ref="B434:B451"/>
    <mergeCell ref="C435:C436"/>
    <mergeCell ref="D443:Q443"/>
    <mergeCell ref="D444:Q444"/>
    <mergeCell ref="D445:Q445"/>
    <mergeCell ref="D437:Q437"/>
    <mergeCell ref="S441:U441"/>
    <mergeCell ref="D450:R450"/>
    <mergeCell ref="D438:Q438"/>
    <mergeCell ref="V445:X445"/>
    <mergeCell ref="D439:Q439"/>
    <mergeCell ref="U422:AD422"/>
    <mergeCell ref="AB450:AD450"/>
    <mergeCell ref="X410:AB410"/>
    <mergeCell ref="AB439:AD439"/>
    <mergeCell ref="Y448:AA448"/>
    <mergeCell ref="D411:D415"/>
    <mergeCell ref="D434:R434"/>
    <mergeCell ref="D418:D422"/>
    <mergeCell ref="X414:AB414"/>
    <mergeCell ref="AB435:AD435"/>
    <mergeCell ref="X420:AB420"/>
    <mergeCell ref="V440:X440"/>
    <mergeCell ref="Y440:AA440"/>
    <mergeCell ref="S440:U440"/>
    <mergeCell ref="Y437:AA437"/>
    <mergeCell ref="AB437:AD437"/>
    <mergeCell ref="S450:U450"/>
    <mergeCell ref="V450:X450"/>
    <mergeCell ref="Y450:AA450"/>
    <mergeCell ref="AE442:AF442"/>
    <mergeCell ref="AJ443:AL443"/>
    <mergeCell ref="AG444:AI444"/>
    <mergeCell ref="AG436:AI436"/>
    <mergeCell ref="AG439:AI439"/>
    <mergeCell ref="AG438:AI438"/>
    <mergeCell ref="AG442:AI442"/>
    <mergeCell ref="AG440:AI440"/>
    <mergeCell ref="AJ438:AL438"/>
    <mergeCell ref="AJ439:AL439"/>
    <mergeCell ref="AE443:AF443"/>
    <mergeCell ref="AJ440:AL440"/>
    <mergeCell ref="AE436:AF436"/>
    <mergeCell ref="AE437:AF437"/>
    <mergeCell ref="AG437:AI437"/>
    <mergeCell ref="B477:B494"/>
    <mergeCell ref="C478:C485"/>
    <mergeCell ref="C487:C490"/>
    <mergeCell ref="AJ441:AL441"/>
    <mergeCell ref="AJ442:AL442"/>
    <mergeCell ref="AG455:AL455"/>
    <mergeCell ref="AG454:AL454"/>
    <mergeCell ref="AJ448:AL448"/>
    <mergeCell ref="AJ449:AL449"/>
    <mergeCell ref="AG450:AI450"/>
    <mergeCell ref="AJ450:AL450"/>
    <mergeCell ref="AG469:AL469"/>
    <mergeCell ref="AB457:AD457"/>
    <mergeCell ref="Y445:AA445"/>
    <mergeCell ref="Y444:AA444"/>
    <mergeCell ref="Y443:AA443"/>
    <mergeCell ref="AE444:AF444"/>
    <mergeCell ref="AG443:AI443"/>
    <mergeCell ref="D448:Q448"/>
    <mergeCell ref="D442:Q442"/>
    <mergeCell ref="AE474:AF474"/>
    <mergeCell ref="AB468:AD468"/>
    <mergeCell ref="AE468:AF468"/>
    <mergeCell ref="AG470:AL470"/>
    <mergeCell ref="AG447:AI447"/>
    <mergeCell ref="AJ447:AL447"/>
    <mergeCell ref="AG446:AI446"/>
    <mergeCell ref="AJ446:AL446"/>
    <mergeCell ref="AJ445:AL445"/>
    <mergeCell ref="AJ444:AL444"/>
    <mergeCell ref="AG441:AI441"/>
    <mergeCell ref="AG445:AI445"/>
    <mergeCell ref="AE469:AF469"/>
    <mergeCell ref="AE454:AF454"/>
    <mergeCell ref="AE463:AF463"/>
    <mergeCell ref="AG458:AL458"/>
    <mergeCell ref="AF460:AI460"/>
    <mergeCell ref="AG457:AL457"/>
    <mergeCell ref="AG451:AI451"/>
    <mergeCell ref="AE466:AF466"/>
    <mergeCell ref="AE464:AF464"/>
    <mergeCell ref="AE459:AF459"/>
    <mergeCell ref="AG459:AL459"/>
    <mergeCell ref="AG467:AL467"/>
    <mergeCell ref="AE449:AF449"/>
    <mergeCell ref="AE447:AF447"/>
    <mergeCell ref="AE441:AF441"/>
    <mergeCell ref="AG465:AL465"/>
    <mergeCell ref="E510:T510"/>
    <mergeCell ref="Y436:AA436"/>
    <mergeCell ref="AE477:AL484"/>
    <mergeCell ref="Y446:AA446"/>
    <mergeCell ref="Y447:AA447"/>
    <mergeCell ref="S442:U442"/>
    <mergeCell ref="V444:X444"/>
    <mergeCell ref="S443:U443"/>
    <mergeCell ref="V442:X442"/>
    <mergeCell ref="V443:X443"/>
    <mergeCell ref="S444:U444"/>
    <mergeCell ref="AB442:AD442"/>
    <mergeCell ref="V437:X437"/>
    <mergeCell ref="Y439:AA439"/>
    <mergeCell ref="V441:X441"/>
    <mergeCell ref="Y441:AA441"/>
    <mergeCell ref="AB445:AD445"/>
    <mergeCell ref="AE445:AF445"/>
    <mergeCell ref="X487:AB487"/>
    <mergeCell ref="AB456:AD456"/>
    <mergeCell ref="Y459:AA459"/>
    <mergeCell ref="Y457:AA457"/>
    <mergeCell ref="V455:X455"/>
    <mergeCell ref="Y455:AA455"/>
    <mergeCell ref="Y473:AA473"/>
    <mergeCell ref="AE438:AF438"/>
    <mergeCell ref="AB441:AD441"/>
    <mergeCell ref="AB440:AD440"/>
    <mergeCell ref="AE448:AF448"/>
    <mergeCell ref="AB448:AD448"/>
    <mergeCell ref="AB449:AD449"/>
    <mergeCell ref="Y470:AA470"/>
    <mergeCell ref="Y471:AA471"/>
    <mergeCell ref="AB471:AD471"/>
    <mergeCell ref="Y466:AA466"/>
    <mergeCell ref="AE446:AF446"/>
    <mergeCell ref="AB446:AD446"/>
    <mergeCell ref="AB447:AD447"/>
    <mergeCell ref="AE458:AF458"/>
    <mergeCell ref="AE451:AF451"/>
    <mergeCell ref="AE457:AF457"/>
    <mergeCell ref="Y458:AA458"/>
    <mergeCell ref="AE470:AF470"/>
    <mergeCell ref="AB438:AD438"/>
    <mergeCell ref="Y456:AA456"/>
    <mergeCell ref="AE440:AF440"/>
    <mergeCell ref="AE439:AF439"/>
    <mergeCell ref="AB451:AD451"/>
    <mergeCell ref="AE417:AL421"/>
    <mergeCell ref="X394:AB394"/>
    <mergeCell ref="AG401:AK401"/>
    <mergeCell ref="AE380:AL389"/>
    <mergeCell ref="AG390:AK390"/>
    <mergeCell ref="X399:AB399"/>
    <mergeCell ref="X397:AB397"/>
    <mergeCell ref="X398:AB398"/>
    <mergeCell ref="X393:AB393"/>
    <mergeCell ref="X413:AB413"/>
    <mergeCell ref="X406:AB406"/>
    <mergeCell ref="X418:AB418"/>
    <mergeCell ref="X382:AB382"/>
    <mergeCell ref="X384:AB384"/>
    <mergeCell ref="X421:AB421"/>
    <mergeCell ref="X404:AB404"/>
    <mergeCell ref="X381:AB381"/>
    <mergeCell ref="X396:AB396"/>
    <mergeCell ref="X392:AB392"/>
    <mergeCell ref="X407:AB407"/>
    <mergeCell ref="AF409:AI409"/>
    <mergeCell ref="AG400:AK400"/>
    <mergeCell ref="AE391:AL399"/>
    <mergeCell ref="X403:AB403"/>
    <mergeCell ref="AG284:AK284"/>
    <mergeCell ref="AE285:AL289"/>
    <mergeCell ref="AD374:AD375"/>
    <mergeCell ref="E261:T261"/>
    <mergeCell ref="E271:T271"/>
    <mergeCell ref="E272:T272"/>
    <mergeCell ref="AG357:AK357"/>
    <mergeCell ref="AG372:AK372"/>
    <mergeCell ref="AE373:AL377"/>
    <mergeCell ref="AG367:AK367"/>
    <mergeCell ref="AE358:AL361"/>
    <mergeCell ref="X320:AB320"/>
    <mergeCell ref="E306:T306"/>
    <mergeCell ref="X306:AB306"/>
    <mergeCell ref="X305:AB305"/>
    <mergeCell ref="X298:AB298"/>
    <mergeCell ref="X291:AB291"/>
    <mergeCell ref="X292:AB292"/>
    <mergeCell ref="X293:AB293"/>
    <mergeCell ref="AG294:AK294"/>
    <mergeCell ref="E307:T307"/>
    <mergeCell ref="AG295:AK295"/>
    <mergeCell ref="E302:AD302"/>
    <mergeCell ref="X299:AB299"/>
    <mergeCell ref="E388:T388"/>
    <mergeCell ref="D403:D408"/>
    <mergeCell ref="E394:T394"/>
    <mergeCell ref="B363:B408"/>
    <mergeCell ref="E393:T393"/>
    <mergeCell ref="C363:C408"/>
    <mergeCell ref="X386:AB386"/>
    <mergeCell ref="AC376:AC377"/>
    <mergeCell ref="E368:T368"/>
    <mergeCell ref="X389:AB389"/>
    <mergeCell ref="X391:AB391"/>
    <mergeCell ref="X383:AB383"/>
    <mergeCell ref="X385:AB385"/>
    <mergeCell ref="AG378:AK378"/>
    <mergeCell ref="X388:AB388"/>
    <mergeCell ref="AG379:AK379"/>
    <mergeCell ref="AG219:AK219"/>
    <mergeCell ref="AG222:AK222"/>
    <mergeCell ref="AG220:AK220"/>
    <mergeCell ref="AG237:AK237"/>
    <mergeCell ref="AE251:AL256"/>
    <mergeCell ref="AG250:AK250"/>
    <mergeCell ref="AG223:AK223"/>
    <mergeCell ref="AG221:AK221"/>
    <mergeCell ref="AE225:AL225"/>
    <mergeCell ref="AE291:AL293"/>
    <mergeCell ref="AG224:AK224"/>
    <mergeCell ref="AE258:AL273"/>
    <mergeCell ref="AG274:AK274"/>
    <mergeCell ref="AF290:AI290"/>
    <mergeCell ref="AE275:AL283"/>
    <mergeCell ref="AD376:AD377"/>
    <mergeCell ref="W376:AB377"/>
    <mergeCell ref="AC374:AC375"/>
    <mergeCell ref="AG257:AK257"/>
    <mergeCell ref="AF245:AI245"/>
    <mergeCell ref="AG371:AK371"/>
    <mergeCell ref="X499:AB499"/>
    <mergeCell ref="AG491:AK491"/>
    <mergeCell ref="AE497:AL504"/>
    <mergeCell ref="AG490:AK490"/>
    <mergeCell ref="X502:AB502"/>
    <mergeCell ref="X501:AB501"/>
    <mergeCell ref="AG485:AK485"/>
    <mergeCell ref="X479:AB479"/>
    <mergeCell ref="X480:AB480"/>
    <mergeCell ref="X481:AB481"/>
    <mergeCell ref="X484:AB484"/>
    <mergeCell ref="X483:AB483"/>
    <mergeCell ref="AG516:AK516"/>
    <mergeCell ref="AG430:AK430"/>
    <mergeCell ref="X504:AB504"/>
    <mergeCell ref="AG515:AK515"/>
    <mergeCell ref="X482:AB482"/>
    <mergeCell ref="AE508:AL511"/>
    <mergeCell ref="AG493:AK493"/>
    <mergeCell ref="AG494:AK494"/>
    <mergeCell ref="AG492:AK492"/>
    <mergeCell ref="X478:AB478"/>
    <mergeCell ref="AG512:AK512"/>
    <mergeCell ref="AG513:AK513"/>
    <mergeCell ref="AG514:AK514"/>
    <mergeCell ref="X498:AB498"/>
    <mergeCell ref="AG507:AK507"/>
    <mergeCell ref="AF505:AI505"/>
    <mergeCell ref="X510:AB510"/>
    <mergeCell ref="X511:AB511"/>
    <mergeCell ref="X509:AB509"/>
    <mergeCell ref="X503:AB503"/>
    <mergeCell ref="AE486:AL489"/>
    <mergeCell ref="X488:AB488"/>
    <mergeCell ref="X489:AB489"/>
    <mergeCell ref="X500:AB500"/>
  </mergeCells>
  <phoneticPr fontId="55" type="noConversion"/>
  <pageMargins left="0.2" right="0" top="0.25" bottom="0.25" header="0" footer="0"/>
  <pageSetup paperSize="9" orientation="portrait" r:id="rId1"/>
  <headerFooter alignWithMargins="0"/>
  <rowBreaks count="10" manualBreakCount="10">
    <brk id="76" max="16383" man="1"/>
    <brk id="132" max="16383" man="1"/>
    <brk id="186" max="16383" man="1"/>
    <brk id="245" max="16383" man="1"/>
    <brk id="290" max="16383" man="1"/>
    <brk id="328" max="16383" man="1"/>
    <brk id="362" max="16383" man="1"/>
    <brk id="409" max="16383" man="1"/>
    <brk id="460" max="16383" man="1"/>
    <brk id="505"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30</vt:i4>
      </vt:variant>
      <vt:variant>
        <vt:lpstr>Named Ranges</vt:lpstr>
      </vt:variant>
      <vt:variant>
        <vt:i4>26</vt:i4>
      </vt:variant>
    </vt:vector>
  </HeadingPairs>
  <TitlesOfParts>
    <vt:vector size="56" baseType="lpstr">
      <vt:lpstr>Data</vt:lpstr>
      <vt:lpstr>MAC</vt:lpstr>
      <vt:lpstr>FDP</vt:lpstr>
      <vt:lpstr>SBR</vt:lpstr>
      <vt:lpstr>1</vt:lpstr>
      <vt:lpstr>2</vt:lpstr>
      <vt:lpstr>3</vt:lpstr>
      <vt:lpstr>4</vt:lpstr>
      <vt:lpstr>5</vt:lpstr>
      <vt:lpstr>6</vt:lpstr>
      <vt:lpstr>7</vt:lpstr>
      <vt:lpstr>8</vt:lpstr>
      <vt:lpstr>9</vt:lpstr>
      <vt:lpstr>Attend</vt:lpstr>
      <vt:lpstr>ITR3-17</vt:lpstr>
      <vt:lpstr>ITR3-19</vt:lpstr>
      <vt:lpstr>ITR3-19-R</vt:lpstr>
      <vt:lpstr>ITR3-19+</vt:lpstr>
      <vt:lpstr>AY 2018-19</vt:lpstr>
      <vt:lpstr>NPS</vt:lpstr>
      <vt:lpstr>Rev</vt:lpstr>
      <vt:lpstr>Re-Rev </vt:lpstr>
      <vt:lpstr>AY 2019-20 (2)</vt:lpstr>
      <vt:lpstr>18A</vt:lpstr>
      <vt:lpstr>20B</vt:lpstr>
      <vt:lpstr>Intt</vt:lpstr>
      <vt:lpstr>IE &amp; BS</vt:lpstr>
      <vt:lpstr>2017</vt:lpstr>
      <vt:lpstr>AIR</vt:lpstr>
      <vt:lpstr>ACS</vt:lpstr>
      <vt:lpstr>'1'!Print_Area</vt:lpstr>
      <vt:lpstr>'18A'!Print_Area</vt:lpstr>
      <vt:lpstr>'2'!Print_Area</vt:lpstr>
      <vt:lpstr>'2017'!Print_Area</vt:lpstr>
      <vt:lpstr>'3'!Print_Area</vt:lpstr>
      <vt:lpstr>'4'!Print_Area</vt:lpstr>
      <vt:lpstr>'5'!Print_Area</vt:lpstr>
      <vt:lpstr>'6'!Print_Area</vt:lpstr>
      <vt:lpstr>'7'!Print_Area</vt:lpstr>
      <vt:lpstr>'8'!Print_Area</vt:lpstr>
      <vt:lpstr>'9'!Print_Area</vt:lpstr>
      <vt:lpstr>'AY 2018-19'!Print_Area</vt:lpstr>
      <vt:lpstr>'AY 2019-20 (2)'!Print_Area</vt:lpstr>
      <vt:lpstr>Data!Print_Area</vt:lpstr>
      <vt:lpstr>FDP!Print_Area</vt:lpstr>
      <vt:lpstr>'IE &amp; BS'!Print_Area</vt:lpstr>
      <vt:lpstr>Intt!Print_Area</vt:lpstr>
      <vt:lpstr>'ITR3-17'!Print_Area</vt:lpstr>
      <vt:lpstr>'ITR3-19'!Print_Area</vt:lpstr>
      <vt:lpstr>'ITR3-19+'!Print_Area</vt:lpstr>
      <vt:lpstr>'ITR3-19-R'!Print_Area</vt:lpstr>
      <vt:lpstr>MAC!Print_Area</vt:lpstr>
      <vt:lpstr>NPS!Print_Area</vt:lpstr>
      <vt:lpstr>'Re-Rev '!Print_Area</vt:lpstr>
      <vt:lpstr>Rev!Print_Area</vt:lpstr>
      <vt:lpstr>SBR!Print_Area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 B. Rathore</dc:creator>
  <cp:lastModifiedBy>Rathore</cp:lastModifiedBy>
  <cp:lastPrinted>2021-01-30T12:11:01Z</cp:lastPrinted>
  <dcterms:created xsi:type="dcterms:W3CDTF">1999-05-31T06:22:36Z</dcterms:created>
  <dcterms:modified xsi:type="dcterms:W3CDTF">2021-02-03T23:28:13Z</dcterms:modified>
</cp:coreProperties>
</file>